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Kalkulator" sheetId="1" r:id="rId1"/>
  </sheets>
  <definedNames>
    <definedName name="solver_adj" localSheetId="0" hidden="1">Kalkulator!$B$10:$P$10</definedName>
    <definedName name="solver_cvg" localSheetId="0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>1</definedName>
    <definedName name="solver_eng" localSheetId="0" hidden="1">2</definedName>
    <definedName name="solver_est" localSheetId="0">1</definedName>
    <definedName name="solver_itr" localSheetId="0" hidden="1">2147483647</definedName>
    <definedName name="solver_lhs1" localSheetId="0" hidden="1">Kalkulator!$B$20:$B$22</definedName>
    <definedName name="solver_lhs2" localSheetId="0" hidden="1">Kalkulator!$B$10:$P$10</definedName>
    <definedName name="solver_lhs3" localSheetId="0" hidden="1">Kalkulator!$B$23</definedName>
    <definedName name="solver_lin" localSheetId="0">1</definedName>
    <definedName name="solver_mip" localSheetId="0">2147483647</definedName>
    <definedName name="solver_mni" localSheetId="0">30</definedName>
    <definedName name="solver_mrt" localSheetId="0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>2</definedName>
    <definedName name="solver_neg" localSheetId="0" hidden="1">1</definedName>
    <definedName name="solver_nod" localSheetId="0">2147483647</definedName>
    <definedName name="solver_num" localSheetId="0" hidden="1">3</definedName>
    <definedName name="solver_nwt" localSheetId="0">1</definedName>
    <definedName name="solver_opt" localSheetId="0" hidden="1">Kalkulator!$B$23</definedName>
    <definedName name="solver_pre" localSheetId="0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>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Kalkulator!$A$20:$A$22</definedName>
    <definedName name="solver_rhs2" localSheetId="0" hidden="1">0</definedName>
    <definedName name="solver_rhs3" localSheetId="0" hidden="1">0</definedName>
    <definedName name="solver_rlx" localSheetId="0">2</definedName>
    <definedName name="solver_rsd" localSheetId="0">0</definedName>
    <definedName name="solver_scl" localSheetId="0">1</definedName>
    <definedName name="solver_sho" localSheetId="0">2</definedName>
    <definedName name="solver_ssz" localSheetId="0">100</definedName>
    <definedName name="solver_tim" localSheetId="0" hidden="1">2147483647</definedName>
    <definedName name="solver_tol" localSheetId="0">99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G12" i="1"/>
  <c r="P11" i="1"/>
  <c r="P12" i="1" s="1"/>
  <c r="O11" i="1"/>
  <c r="O12" i="1" s="1"/>
  <c r="N11" i="1"/>
  <c r="N12" i="1" s="1"/>
  <c r="M11" i="1"/>
  <c r="M12" i="1" s="1"/>
  <c r="L11" i="1"/>
  <c r="L12" i="1" s="1"/>
  <c r="K11" i="1"/>
  <c r="K12" i="1" s="1"/>
  <c r="J11" i="1"/>
  <c r="J12" i="1" s="1"/>
  <c r="I11" i="1"/>
  <c r="I12" i="1" s="1"/>
  <c r="H11" i="1"/>
  <c r="H12" i="1" s="1"/>
  <c r="G11" i="1"/>
  <c r="F11" i="1"/>
  <c r="F12" i="1" s="1"/>
  <c r="E11" i="1"/>
  <c r="E12" i="1" s="1"/>
  <c r="D11" i="1"/>
  <c r="D12" i="1" s="1"/>
  <c r="C11" i="1"/>
  <c r="C12" i="1" s="1"/>
  <c r="B11" i="1"/>
  <c r="B12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P7" i="1"/>
  <c r="N7" i="1"/>
  <c r="L7" i="1"/>
  <c r="K7" i="1"/>
  <c r="J7" i="1"/>
  <c r="I7" i="1"/>
  <c r="H7" i="1"/>
  <c r="G7" i="1"/>
  <c r="F7" i="1"/>
  <c r="O6" i="1"/>
  <c r="N6" i="1"/>
  <c r="M6" i="1"/>
  <c r="L6" i="1"/>
  <c r="K6" i="1"/>
  <c r="J6" i="1"/>
  <c r="I6" i="1"/>
  <c r="H6" i="1"/>
  <c r="G6" i="1"/>
  <c r="F6" i="1"/>
  <c r="O5" i="1"/>
  <c r="M5" i="1"/>
  <c r="L5" i="1"/>
  <c r="K5" i="1"/>
  <c r="J5" i="1"/>
  <c r="I5" i="1"/>
  <c r="H5" i="1"/>
  <c r="G5" i="1"/>
  <c r="F5" i="1"/>
  <c r="E5" i="1"/>
  <c r="D5" i="1"/>
  <c r="C5" i="1"/>
  <c r="B5" i="1"/>
  <c r="B23" i="1" l="1"/>
  <c r="B20" i="1"/>
  <c r="B21" i="1"/>
  <c r="B22" i="1"/>
</calcChain>
</file>

<file path=xl/sharedStrings.xml><?xml version="1.0" encoding="utf-8"?>
<sst xmlns="http://schemas.openxmlformats.org/spreadsheetml/2006/main" count="81" uniqueCount="55">
  <si>
    <t>Optimizacija gnojidbe simplex metodom</t>
  </si>
  <si>
    <t>Cijena</t>
  </si>
  <si>
    <t>Urea 46%</t>
  </si>
  <si>
    <t>KAN 27%</t>
  </si>
  <si>
    <t>UAN 30%</t>
  </si>
  <si>
    <t>ASN 26%</t>
  </si>
  <si>
    <t>13:10:12</t>
  </si>
  <si>
    <t>7:20:30</t>
  </si>
  <si>
    <t>12:6:18</t>
  </si>
  <si>
    <t>20:10:10</t>
  </si>
  <si>
    <t>15:15:15</t>
  </si>
  <si>
    <t>8:16:24</t>
  </si>
  <si>
    <t>20:20:0</t>
  </si>
  <si>
    <t>MAP</t>
  </si>
  <si>
    <t>KCl 60%</t>
  </si>
  <si>
    <t>€/t gnojiva</t>
  </si>
  <si>
    <t>€/kg N</t>
  </si>
  <si>
    <r>
      <rPr>
        <b/>
        <sz val="13"/>
        <color rgb="FF000000"/>
        <rFont val="Calibri"/>
        <family val="2"/>
        <charset val="238"/>
      </rPr>
      <t>€/kg P</t>
    </r>
    <r>
      <rPr>
        <b/>
        <vertAlign val="subscript"/>
        <sz val="13"/>
        <color rgb="FF000000"/>
        <rFont val="Calibri"/>
        <family val="2"/>
        <charset val="238"/>
      </rPr>
      <t>2</t>
    </r>
    <r>
      <rPr>
        <b/>
        <sz val="13"/>
        <color rgb="FF000000"/>
        <rFont val="Calibri"/>
        <family val="2"/>
        <charset val="238"/>
      </rPr>
      <t>O</t>
    </r>
    <r>
      <rPr>
        <b/>
        <vertAlign val="subscript"/>
        <sz val="13"/>
        <color rgb="FF000000"/>
        <rFont val="Calibri"/>
        <family val="2"/>
        <charset val="238"/>
      </rPr>
      <t>5</t>
    </r>
  </si>
  <si>
    <r>
      <rPr>
        <b/>
        <sz val="13"/>
        <color rgb="FF000000"/>
        <rFont val="Calibri"/>
        <family val="2"/>
        <charset val="238"/>
      </rPr>
      <t>€/kg K</t>
    </r>
    <r>
      <rPr>
        <b/>
        <vertAlign val="subscript"/>
        <sz val="13"/>
        <color rgb="FF000000"/>
        <rFont val="Calibri"/>
        <family val="2"/>
        <charset val="238"/>
      </rPr>
      <t>2</t>
    </r>
    <r>
      <rPr>
        <b/>
        <sz val="13"/>
        <color rgb="FF000000"/>
        <rFont val="Calibri"/>
        <family val="2"/>
        <charset val="238"/>
      </rPr>
      <t>O</t>
    </r>
  </si>
  <si>
    <r>
      <rPr>
        <b/>
        <i/>
        <sz val="13"/>
        <color rgb="FF000000"/>
        <rFont val="Calibri"/>
        <family val="2"/>
        <charset val="238"/>
      </rPr>
      <t>Izabrano gnojivo(</t>
    </r>
    <r>
      <rPr>
        <b/>
        <i/>
        <sz val="13"/>
        <color rgb="FFFF0000"/>
        <rFont val="Calibri"/>
        <family val="2"/>
        <charset val="238"/>
      </rPr>
      <t>●</t>
    </r>
    <r>
      <rPr>
        <b/>
        <i/>
        <sz val="13"/>
        <color rgb="FF000000"/>
        <rFont val="Calibri"/>
        <family val="2"/>
        <charset val="238"/>
      </rPr>
      <t>):</t>
    </r>
  </si>
  <si>
    <t>kg/cijena</t>
  </si>
  <si>
    <t>Potreba kg:</t>
  </si>
  <si>
    <t>€/kg gnojiva:</t>
  </si>
  <si>
    <t>Cijena (€):</t>
  </si>
  <si>
    <t>Aktivna tvar</t>
  </si>
  <si>
    <t>N</t>
  </si>
  <si>
    <r>
      <rPr>
        <b/>
        <sz val="13"/>
        <color rgb="FFFFFFFF"/>
        <rFont val="Calibri"/>
        <family val="2"/>
        <charset val="238"/>
      </rPr>
      <t>P</t>
    </r>
    <r>
      <rPr>
        <b/>
        <vertAlign val="subscript"/>
        <sz val="13"/>
        <color rgb="FFFFFFFF"/>
        <rFont val="Calibri"/>
        <family val="2"/>
        <charset val="238"/>
      </rPr>
      <t>2</t>
    </r>
    <r>
      <rPr>
        <b/>
        <sz val="13"/>
        <color rgb="FFFFFFFF"/>
        <rFont val="Calibri"/>
        <family val="2"/>
        <charset val="238"/>
      </rPr>
      <t>O</t>
    </r>
    <r>
      <rPr>
        <b/>
        <vertAlign val="subscript"/>
        <sz val="13"/>
        <color rgb="FFFFFFFF"/>
        <rFont val="Calibri"/>
        <family val="2"/>
        <charset val="238"/>
      </rPr>
      <t>5</t>
    </r>
  </si>
  <si>
    <r>
      <rPr>
        <b/>
        <sz val="13"/>
        <color rgb="FFFFFFFF"/>
        <rFont val="Calibri"/>
        <family val="2"/>
        <charset val="238"/>
      </rPr>
      <t>K</t>
    </r>
    <r>
      <rPr>
        <b/>
        <vertAlign val="subscript"/>
        <sz val="13"/>
        <color rgb="FFFFFFFF"/>
        <rFont val="Calibri"/>
        <family val="2"/>
        <charset val="238"/>
      </rPr>
      <t>2</t>
    </r>
    <r>
      <rPr>
        <b/>
        <sz val="13"/>
        <color rgb="FFFFFFFF"/>
        <rFont val="Calibri"/>
        <family val="2"/>
        <charset val="238"/>
      </rPr>
      <t>O</t>
    </r>
  </si>
  <si>
    <t>Potreba</t>
  </si>
  <si>
    <t>Postignuto</t>
  </si>
  <si>
    <t>Cijena €/ha:</t>
  </si>
  <si>
    <t>Upute (odnose se na Excel ver. ≥2010.):</t>
  </si>
  <si>
    <r>
      <rPr>
        <sz val="12"/>
        <color rgb="FF000000"/>
        <rFont val="Calibri"/>
        <family val="2"/>
        <charset val="238"/>
      </rPr>
      <t xml:space="preserve">U Excelu mora biti uključen </t>
    </r>
    <r>
      <rPr>
        <b/>
        <i/>
        <u/>
        <sz val="12"/>
        <color rgb="FF000000"/>
        <rFont val="Calibri"/>
        <family val="2"/>
        <charset val="238"/>
      </rPr>
      <t>Solver</t>
    </r>
    <r>
      <rPr>
        <sz val="12"/>
        <color rgb="FF000000"/>
        <rFont val="Calibri"/>
        <family val="2"/>
        <charset val="238"/>
      </rPr>
      <t xml:space="preserve"> (rješavatelj): </t>
    </r>
    <r>
      <rPr>
        <b/>
        <i/>
        <sz val="12"/>
        <color rgb="FF000000"/>
        <rFont val="Calibri"/>
        <family val="2"/>
        <charset val="238"/>
      </rPr>
      <t>Mogućnosti/Dodaci/Dodaci programa Excel/Alat za rješavanje</t>
    </r>
    <r>
      <rPr>
        <b/>
        <sz val="12"/>
        <color rgb="FF000000"/>
        <rFont val="Calibri"/>
        <family val="2"/>
        <charset val="238"/>
      </rPr>
      <t xml:space="preserve"> </t>
    </r>
    <r>
      <rPr>
        <sz val="12"/>
        <color rgb="FF000000"/>
        <rFont val="Calibri"/>
        <family val="2"/>
        <charset val="238"/>
      </rPr>
      <t xml:space="preserve">(uključi i </t>
    </r>
    <r>
      <rPr>
        <b/>
        <i/>
        <sz val="12"/>
        <color rgb="FF000000"/>
        <rFont val="Calibri"/>
        <family val="2"/>
        <charset val="238"/>
      </rPr>
      <t xml:space="preserve">Alat za rješavanje </t>
    </r>
    <r>
      <rPr>
        <sz val="12"/>
        <color rgb="FF000000"/>
        <rFont val="Calibri"/>
        <family val="2"/>
        <charset val="238"/>
      </rPr>
      <t xml:space="preserve">e u izborniku </t>
    </r>
    <r>
      <rPr>
        <b/>
        <i/>
        <sz val="12"/>
        <color rgb="FF000000"/>
        <rFont val="Calibri"/>
        <family val="2"/>
        <charset val="238"/>
      </rPr>
      <t>Podaci</t>
    </r>
    <r>
      <rPr>
        <sz val="12"/>
        <color rgb="FF000000"/>
        <rFont val="Calibri"/>
        <family val="2"/>
        <charset val="238"/>
      </rPr>
      <t>;</t>
    </r>
  </si>
  <si>
    <r>
      <rPr>
        <sz val="12"/>
        <color rgb="FF000000"/>
        <rFont val="Calibri"/>
        <family val="2"/>
        <charset val="238"/>
      </rPr>
      <t xml:space="preserve">Označite mišem ćeliju </t>
    </r>
    <r>
      <rPr>
        <b/>
        <i/>
        <sz val="12"/>
        <color rgb="FF000000"/>
        <rFont val="Calibri"/>
        <family val="2"/>
        <charset val="238"/>
      </rPr>
      <t>B23</t>
    </r>
    <r>
      <rPr>
        <sz val="12"/>
        <color rgb="FF000000"/>
        <rFont val="Calibri"/>
        <family val="2"/>
        <charset val="238"/>
      </rPr>
      <t xml:space="preserve">, otiđite u izbornik </t>
    </r>
    <r>
      <rPr>
        <b/>
        <i/>
        <sz val="12"/>
        <color rgb="FF000000"/>
        <rFont val="Calibri"/>
        <family val="2"/>
        <charset val="238"/>
      </rPr>
      <t>Podaci</t>
    </r>
    <r>
      <rPr>
        <sz val="12"/>
        <color rgb="FF000000"/>
        <rFont val="Calibri"/>
        <family val="2"/>
        <charset val="238"/>
      </rPr>
      <t xml:space="preserve">, kliknite na </t>
    </r>
    <r>
      <rPr>
        <b/>
        <i/>
        <sz val="12"/>
        <color rgb="FF000000"/>
        <rFont val="Calibri"/>
        <family val="2"/>
        <charset val="238"/>
      </rPr>
      <t>Alat za rješavanje</t>
    </r>
    <r>
      <rPr>
        <sz val="12"/>
        <color rgb="FF000000"/>
        <rFont val="Calibri"/>
        <family val="2"/>
        <charset val="238"/>
      </rPr>
      <t xml:space="preserve">, izaberite </t>
    </r>
    <r>
      <rPr>
        <b/>
        <i/>
        <sz val="12"/>
        <color rgb="FF000000"/>
        <rFont val="Calibri"/>
        <family val="2"/>
        <charset val="238"/>
      </rPr>
      <t>Jednostavni LP</t>
    </r>
    <r>
      <rPr>
        <sz val="12"/>
        <color rgb="FF000000"/>
        <rFont val="Calibri"/>
        <family val="2"/>
        <charset val="238"/>
      </rPr>
      <t xml:space="preserve">, zatim </t>
    </r>
    <r>
      <rPr>
        <b/>
        <i/>
        <sz val="12"/>
        <color rgb="FF000000"/>
        <rFont val="Calibri"/>
        <family val="2"/>
        <charset val="238"/>
      </rPr>
      <t>Riješi</t>
    </r>
    <r>
      <rPr>
        <sz val="12"/>
        <color rgb="FF000000"/>
        <rFont val="Calibri"/>
        <family val="2"/>
        <charset val="238"/>
      </rPr>
      <t xml:space="preserve"> i na koncu </t>
    </r>
    <r>
      <rPr>
        <b/>
        <i/>
        <sz val="12"/>
        <color rgb="FF000000"/>
        <rFont val="Calibri"/>
        <family val="2"/>
        <charset val="238"/>
      </rPr>
      <t xml:space="preserve">U redu </t>
    </r>
    <r>
      <rPr>
        <sz val="12"/>
        <color rgb="FF000000"/>
        <rFont val="Calibri"/>
        <family val="2"/>
        <charset val="238"/>
      </rPr>
      <t>i cijena gnojidbe (kn/ha) je u ćeliji B3;</t>
    </r>
  </si>
  <si>
    <t>Ovo je jednostavan simplex kalkulator optimizacije gnojidbe koji uključuje 15 mineralnih NPK gnojiva, a potrebu usjeva temeljem kemijske analize tla utvrđuje temeljem cijene gnojiva i izabranih formulacija;</t>
  </si>
  <si>
    <r>
      <rPr>
        <sz val="12"/>
        <color rgb="FF000000"/>
        <rFont val="Calibri"/>
        <family val="2"/>
        <charset val="238"/>
      </rPr>
      <t xml:space="preserve">1) Unesite potrebu hranjivih tvari (najbolje temeljem analize tla) u ćelije </t>
    </r>
    <r>
      <rPr>
        <b/>
        <i/>
        <sz val="12"/>
        <color rgb="FF000000"/>
        <rFont val="Calibri"/>
        <family val="2"/>
        <charset val="238"/>
      </rPr>
      <t>A20 : A22</t>
    </r>
    <r>
      <rPr>
        <sz val="12"/>
        <color rgb="FF000000"/>
        <rFont val="Calibri"/>
        <family val="2"/>
        <charset val="238"/>
      </rPr>
      <t xml:space="preserve"> (žuto obojene ćelije);</t>
    </r>
  </si>
  <si>
    <r>
      <rPr>
        <sz val="12"/>
        <color rgb="FF000000"/>
        <rFont val="Calibri"/>
        <family val="2"/>
        <charset val="238"/>
      </rPr>
      <t xml:space="preserve">    c) Zatim kliknite na ćeliju </t>
    </r>
    <r>
      <rPr>
        <b/>
        <i/>
        <sz val="12"/>
        <color rgb="FF000000"/>
        <rFont val="Calibri"/>
        <family val="2"/>
        <charset val="238"/>
      </rPr>
      <t>B23</t>
    </r>
    <r>
      <rPr>
        <sz val="12"/>
        <color rgb="FF000000"/>
        <rFont val="Calibri"/>
        <family val="2"/>
        <charset val="238"/>
      </rPr>
      <t xml:space="preserve"> (plavo obojena) pa na izbornik </t>
    </r>
    <r>
      <rPr>
        <b/>
        <i/>
        <sz val="12"/>
        <color rgb="FF000000"/>
        <rFont val="Calibri"/>
        <family val="2"/>
        <charset val="238"/>
      </rPr>
      <t>Podaci</t>
    </r>
    <r>
      <rPr>
        <sz val="12"/>
        <color rgb="FF000000"/>
        <rFont val="Calibri"/>
        <family val="2"/>
        <charset val="238"/>
      </rPr>
      <t xml:space="preserve"> (Data), izaberite </t>
    </r>
    <r>
      <rPr>
        <b/>
        <i/>
        <sz val="12"/>
        <color rgb="FF000000"/>
        <rFont val="Calibri"/>
        <family val="2"/>
        <charset val="238"/>
      </rPr>
      <t>Alat za rješavanje</t>
    </r>
    <r>
      <rPr>
        <sz val="12"/>
        <color rgb="FF000000"/>
        <rFont val="Calibri"/>
        <family val="2"/>
        <charset val="238"/>
      </rPr>
      <t xml:space="preserve"> (Solver) i kliknite na </t>
    </r>
    <r>
      <rPr>
        <b/>
        <i/>
        <sz val="12"/>
        <color rgb="FF000000"/>
        <rFont val="Calibri"/>
        <family val="2"/>
        <charset val="238"/>
      </rPr>
      <t>Riješi</t>
    </r>
    <r>
      <rPr>
        <sz val="12"/>
        <color rgb="FF000000"/>
        <rFont val="Calibri"/>
        <family val="2"/>
        <charset val="238"/>
      </rPr>
      <t xml:space="preserve"> (Solve) te zatim na </t>
    </r>
    <r>
      <rPr>
        <b/>
        <i/>
        <sz val="12"/>
        <color rgb="FF000000"/>
        <rFont val="Calibri"/>
        <family val="2"/>
        <charset val="238"/>
      </rPr>
      <t>U redu</t>
    </r>
    <r>
      <rPr>
        <sz val="12"/>
        <color rgb="FF000000"/>
        <rFont val="Calibri"/>
        <family val="2"/>
        <charset val="238"/>
      </rPr>
      <t xml:space="preserve"> (OK);</t>
    </r>
  </si>
  <si>
    <r>
      <rPr>
        <sz val="12"/>
        <color rgb="FF000000"/>
        <rFont val="Calibri"/>
        <family val="2"/>
        <charset val="238"/>
      </rPr>
      <t xml:space="preserve">    d) U ćelijama </t>
    </r>
    <r>
      <rPr>
        <b/>
        <i/>
        <sz val="12"/>
        <color rgb="FF000000"/>
        <rFont val="Calibri"/>
        <family val="2"/>
        <charset val="238"/>
      </rPr>
      <t>B20 : B22</t>
    </r>
    <r>
      <rPr>
        <sz val="12"/>
        <color rgb="FF000000"/>
        <rFont val="Calibri"/>
        <family val="2"/>
        <charset val="238"/>
      </rPr>
      <t xml:space="preserve"> pojavit će se izračunate vrijednosti i cijena gnojiva u ćeliji u ćeliji </t>
    </r>
    <r>
      <rPr>
        <b/>
        <i/>
        <sz val="12"/>
        <color rgb="FF000000"/>
        <rFont val="Calibri"/>
        <family val="2"/>
        <charset val="238"/>
      </rPr>
      <t>B23;</t>
    </r>
  </si>
  <si>
    <r>
      <rPr>
        <sz val="12"/>
        <color rgb="FF000000"/>
        <rFont val="Calibri"/>
        <family val="2"/>
        <charset val="238"/>
      </rPr>
      <t xml:space="preserve">    e) Što su vrijednosti u ćelijama </t>
    </r>
    <r>
      <rPr>
        <b/>
        <i/>
        <sz val="12"/>
        <color rgb="FF000000"/>
        <rFont val="Calibri"/>
        <family val="2"/>
        <charset val="238"/>
      </rPr>
      <t>B20 : B22</t>
    </r>
    <r>
      <rPr>
        <sz val="12"/>
        <color rgb="FF000000"/>
        <rFont val="Calibri"/>
        <family val="2"/>
        <charset val="238"/>
      </rPr>
      <t xml:space="preserve">  bliže potrebi aktivne tvari (ćelije </t>
    </r>
    <r>
      <rPr>
        <b/>
        <i/>
        <sz val="12"/>
        <color rgb="FF000000"/>
        <rFont val="Calibri"/>
        <family val="2"/>
        <charset val="238"/>
      </rPr>
      <t>A20 : A22</t>
    </r>
    <r>
      <rPr>
        <sz val="12"/>
        <color rgb="FF000000"/>
        <rFont val="Calibri"/>
        <family val="2"/>
        <charset val="238"/>
      </rPr>
      <t>) i cijena izabranih gnojiva niža (</t>
    </r>
    <r>
      <rPr>
        <b/>
        <i/>
        <sz val="12"/>
        <color rgb="FF000000"/>
        <rFont val="Calibri"/>
        <family val="2"/>
        <charset val="238"/>
      </rPr>
      <t>B23</t>
    </r>
    <r>
      <rPr>
        <sz val="12"/>
        <color rgb="FF000000"/>
        <rFont val="Calibri"/>
        <family val="2"/>
        <charset val="238"/>
      </rPr>
      <t xml:space="preserve">), optimizacija je uspješnija. </t>
    </r>
  </si>
  <si>
    <t>2) Također, pregledajte i slijedeće ćelije kalkulatora:</t>
  </si>
  <si>
    <r>
      <rPr>
        <sz val="12"/>
        <color rgb="FF000000"/>
        <rFont val="Calibri"/>
        <family val="2"/>
        <charset val="238"/>
      </rPr>
      <t xml:space="preserve">    a) Ćelije</t>
    </r>
    <r>
      <rPr>
        <b/>
        <i/>
        <sz val="12"/>
        <color rgb="FF000000"/>
        <rFont val="Calibri"/>
        <family val="2"/>
        <charset val="238"/>
      </rPr>
      <t xml:space="preserve"> B10 : P10</t>
    </r>
    <r>
      <rPr>
        <sz val="12"/>
        <color rgb="FF000000"/>
        <rFont val="Calibri"/>
        <family val="2"/>
        <charset val="238"/>
      </rPr>
      <t xml:space="preserve"> pokazuju potrebnu masu pojedinog gnojiva u kg/ha:</t>
    </r>
  </si>
  <si>
    <r>
      <rPr>
        <sz val="12"/>
        <color rgb="FF000000"/>
        <rFont val="Calibri"/>
        <family val="2"/>
        <charset val="238"/>
      </rPr>
      <t xml:space="preserve">    b) Raspon ćelija </t>
    </r>
    <r>
      <rPr>
        <b/>
        <i/>
        <sz val="12"/>
        <color rgb="FF000000"/>
        <rFont val="Calibri"/>
        <family val="2"/>
        <charset val="238"/>
      </rPr>
      <t>B12 : P12</t>
    </r>
    <r>
      <rPr>
        <sz val="12"/>
        <color rgb="FF000000"/>
        <rFont val="Calibri"/>
        <family val="2"/>
        <charset val="238"/>
      </rPr>
      <t xml:space="preserve"> pokazuje cijenu izabranih gnojiva;</t>
    </r>
  </si>
  <si>
    <r>
      <rPr>
        <sz val="12"/>
        <color rgb="FF000000"/>
        <rFont val="Calibri"/>
        <family val="2"/>
        <charset val="238"/>
      </rPr>
      <t xml:space="preserve">    c) U ćelijama B8 : R8 označena su izabrana gnojiva oznakom </t>
    </r>
    <r>
      <rPr>
        <sz val="14"/>
        <color rgb="FFFF0000"/>
        <rFont val="Calibri"/>
        <family val="2"/>
        <charset val="238"/>
      </rPr>
      <t>•</t>
    </r>
    <r>
      <rPr>
        <sz val="12"/>
        <color rgb="FF000000"/>
        <rFont val="Calibri"/>
        <family val="2"/>
        <charset val="238"/>
      </rPr>
      <t>;</t>
    </r>
  </si>
  <si>
    <t xml:space="preserve">    d) Kad rješenje nije moguće, ili su sva gnojiva iste cijene, kalkulator će izabrati sam gnojiva (situacija koju morate sami razriješiti).</t>
  </si>
  <si>
    <t>4) Nemojte mijenjati formule u radnom listu ili postavke Solvera (Alata rješavanje) ako niste vješti u korištenju Excela i linearnom programiranju! Ako to već radite, sačuvajte kopiju kalkulatora;</t>
  </si>
  <si>
    <t>5) Formule i ćelije kalkulatora nisu zaštićene od brisanja pa korisnici mogu sami promijeniti cijenu mineralnih gnojiva;</t>
  </si>
  <si>
    <t>6) Čuvajte kopiju kalkulatora u slučaju da nehotično obrišete neku od ćelija s formulama ili podacima!</t>
  </si>
  <si>
    <t>Prof. dr. sc. Vladimir Vukadinović</t>
  </si>
  <si>
    <t>e-mail: vladimir@tlo-i-biljka.eu</t>
  </si>
  <si>
    <t>Osijek, 2012., rev.2022.</t>
  </si>
  <si>
    <r>
      <t xml:space="preserve">Prof. dr. sc. Vladimir Vukadinović
</t>
    </r>
    <r>
      <rPr>
        <sz val="12"/>
        <color rgb="FF000000"/>
        <rFont val="Calibri"/>
        <family val="2"/>
        <charset val="1"/>
      </rPr>
      <t>Hr-31000 Osijek; rev. 2023. god.</t>
    </r>
  </si>
  <si>
    <t xml:space="preserve">    a) Popunite sve ćelije B4 : P4 s cijenama gnojiva (zeleno obojene ćelije) u €/t (uključujući i PDV, tablica trenutnih cijena je desno);</t>
  </si>
  <si>
    <t xml:space="preserve">    b) Gnojiva kojima ne raspolažete ili ne želite koristiti  isključite (diskriminirajte) s cijenom 2.000 €/t (ili više ako takvo gnojivo postoji);</t>
  </si>
  <si>
    <t>3) Čak i ako ne pokrenete rješavatelj (Solver), možete unijeti cijenu gnojiva te će svako gnojivo pokazati trošak po kilogramu aktivne tvari.</t>
  </si>
  <si>
    <t>https://tlo-i-biljka.eu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</si>
</sst>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sz val="12"/>
      <color rgb="FF000000"/>
      <name val="Calibri"/>
      <family val="2"/>
      <charset val="1"/>
    </font>
    <font>
      <b/>
      <sz val="26"/>
      <color rgb="FF000000"/>
      <name val="Calibri"/>
      <family val="2"/>
      <charset val="238"/>
    </font>
    <font>
      <b/>
      <sz val="13"/>
      <color rgb="FFFFFFFF"/>
      <name val="Calibri"/>
      <family val="2"/>
      <charset val="238"/>
    </font>
    <font>
      <b/>
      <sz val="13"/>
      <color rgb="FFFFFF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2"/>
      <color rgb="FF77933C"/>
      <name val="Calibri"/>
      <family val="2"/>
      <charset val="238"/>
    </font>
    <font>
      <b/>
      <vertAlign val="subscript"/>
      <sz val="13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CC"/>
      <name val="Calibri"/>
      <family val="2"/>
      <charset val="238"/>
    </font>
    <font>
      <b/>
      <i/>
      <sz val="13"/>
      <color rgb="FF000000"/>
      <name val="Calibri"/>
      <family val="2"/>
      <charset val="238"/>
    </font>
    <font>
      <b/>
      <i/>
      <sz val="13"/>
      <color rgb="FFFF0000"/>
      <name val="Calibri"/>
      <family val="2"/>
      <charset val="238"/>
    </font>
    <font>
      <sz val="20"/>
      <color rgb="FFFF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006600"/>
      <name val="Calibri"/>
      <family val="2"/>
      <charset val="238"/>
    </font>
    <font>
      <sz val="13"/>
      <color rgb="FF000000"/>
      <name val="Calibri"/>
      <family val="2"/>
      <charset val="238"/>
    </font>
    <font>
      <b/>
      <vertAlign val="subscript"/>
      <sz val="13"/>
      <color rgb="FFFFFFFF"/>
      <name val="Calibri"/>
      <family val="2"/>
      <charset val="238"/>
    </font>
    <font>
      <b/>
      <sz val="12"/>
      <color rgb="FFFFFFFF"/>
      <name val="Calibri"/>
      <family val="2"/>
      <charset val="238"/>
    </font>
    <font>
      <b/>
      <sz val="14"/>
      <color rgb="FFFFFFFF"/>
      <name val="Calibri"/>
      <family val="2"/>
      <charset val="238"/>
    </font>
    <font>
      <b/>
      <sz val="14"/>
      <color rgb="FF006600"/>
      <name val="Calibri"/>
      <family val="2"/>
      <charset val="238"/>
    </font>
    <font>
      <b/>
      <sz val="14"/>
      <color rgb="FFFFFF00"/>
      <name val="Calibri"/>
      <family val="2"/>
      <charset val="238"/>
    </font>
    <font>
      <b/>
      <u/>
      <sz val="14"/>
      <color rgb="FF000000"/>
      <name val="Calibri"/>
      <family val="2"/>
      <charset val="238"/>
    </font>
    <font>
      <b/>
      <i/>
      <u/>
      <sz val="12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i/>
      <sz val="12"/>
      <color rgb="FF333333"/>
      <name val="Calibri"/>
      <family val="2"/>
      <charset val="238"/>
    </font>
    <font>
      <sz val="12"/>
      <color rgb="FF333333"/>
      <name val="Calibri"/>
      <family val="2"/>
      <charset val="238"/>
    </font>
    <font>
      <sz val="14"/>
      <color rgb="FFFF0000"/>
      <name val="Calibri"/>
      <family val="2"/>
      <charset val="238"/>
    </font>
    <font>
      <u/>
      <sz val="11"/>
      <color rgb="FF0000FF"/>
      <name val="Calibri"/>
      <family val="2"/>
      <charset val="1"/>
    </font>
    <font>
      <u/>
      <sz val="12"/>
      <color rgb="FF0000FF"/>
      <name val="Calibri"/>
      <family val="2"/>
      <charset val="238"/>
    </font>
    <font>
      <b/>
      <i/>
      <sz val="12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CC"/>
        <bgColor rgb="FF0000FF"/>
      </patternFill>
    </fill>
    <fill>
      <patternFill patternType="solid">
        <fgColor rgb="FFC00000"/>
        <bgColor rgb="FFFF0000"/>
      </patternFill>
    </fill>
    <fill>
      <patternFill patternType="solid">
        <fgColor rgb="FFFF0000"/>
        <bgColor rgb="FFC000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</fills>
  <borders count="3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1" fillId="0" borderId="0" applyBorder="0" applyProtection="0"/>
  </cellStyleXfs>
  <cellXfs count="85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21" fontId="6" fillId="4" borderId="4" xfId="0" applyNumberFormat="1" applyFont="1" applyFill="1" applyBorder="1" applyAlignment="1" applyProtection="1">
      <alignment horizontal="center" vertical="center"/>
      <protection locked="0"/>
    </xf>
    <xf numFmtId="21" fontId="6" fillId="5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2" fontId="7" fillId="6" borderId="7" xfId="0" applyNumberFormat="1" applyFont="1" applyFill="1" applyBorder="1" applyAlignment="1" applyProtection="1">
      <alignment horizontal="right" vertical="center"/>
      <protection locked="0"/>
    </xf>
    <xf numFmtId="2" fontId="7" fillId="6" borderId="8" xfId="0" applyNumberFormat="1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2" fontId="8" fillId="2" borderId="10" xfId="0" applyNumberFormat="1" applyFont="1" applyFill="1" applyBorder="1" applyAlignment="1" applyProtection="1">
      <alignment vertical="center"/>
      <protection locked="0"/>
    </xf>
    <xf numFmtId="2" fontId="8" fillId="2" borderId="11" xfId="0" applyNumberFormat="1" applyFont="1" applyFill="1" applyBorder="1" applyAlignment="1" applyProtection="1">
      <alignment vertical="center"/>
      <protection locked="0"/>
    </xf>
    <xf numFmtId="2" fontId="8" fillId="2" borderId="12" xfId="0" applyNumberFormat="1" applyFont="1" applyFill="1" applyBorder="1" applyAlignment="1" applyProtection="1">
      <alignment vertical="center"/>
      <protection locked="0"/>
    </xf>
    <xf numFmtId="2" fontId="10" fillId="2" borderId="10" xfId="0" applyNumberFormat="1" applyFont="1" applyFill="1" applyBorder="1" applyAlignment="1" applyProtection="1">
      <alignment horizontal="right" vertical="center"/>
      <protection locked="0"/>
    </xf>
    <xf numFmtId="2" fontId="10" fillId="2" borderId="11" xfId="0" applyNumberFormat="1" applyFont="1" applyFill="1" applyBorder="1" applyAlignment="1" applyProtection="1">
      <alignment horizontal="right" vertical="center"/>
      <protection locked="0"/>
    </xf>
    <xf numFmtId="2" fontId="10" fillId="2" borderId="12" xfId="0" applyNumberFormat="1" applyFont="1" applyFill="1" applyBorder="1" applyAlignment="1" applyProtection="1">
      <alignment horizontal="righ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2" fontId="11" fillId="2" borderId="14" xfId="0" applyNumberFormat="1" applyFont="1" applyFill="1" applyBorder="1" applyAlignment="1" applyProtection="1">
      <alignment horizontal="right" vertical="center"/>
      <protection locked="0"/>
    </xf>
    <xf numFmtId="2" fontId="11" fillId="2" borderId="15" xfId="0" applyNumberFormat="1" applyFont="1" applyFill="1" applyBorder="1" applyAlignment="1" applyProtection="1">
      <alignment horizontal="right" vertical="center"/>
      <protection locked="0"/>
    </xf>
    <xf numFmtId="2" fontId="11" fillId="2" borderId="16" xfId="0" applyNumberFormat="1" applyFont="1" applyFill="1" applyBorder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164" fontId="16" fillId="2" borderId="7" xfId="0" applyNumberFormat="1" applyFont="1" applyFill="1" applyBorder="1" applyAlignment="1" applyProtection="1">
      <alignment vertical="center"/>
      <protection locked="0"/>
    </xf>
    <xf numFmtId="164" fontId="16" fillId="2" borderId="8" xfId="0" applyNumberFormat="1" applyFont="1" applyFill="1" applyBorder="1" applyAlignment="1" applyProtection="1">
      <alignment vertical="center"/>
      <protection locked="0"/>
    </xf>
    <xf numFmtId="164" fontId="16" fillId="2" borderId="17" xfId="0" applyNumberFormat="1" applyFont="1" applyFill="1" applyBorder="1" applyAlignment="1" applyProtection="1">
      <alignment vertical="center"/>
      <protection locked="0"/>
    </xf>
    <xf numFmtId="2" fontId="17" fillId="2" borderId="10" xfId="0" applyNumberFormat="1" applyFont="1" applyFill="1" applyBorder="1" applyAlignment="1" applyProtection="1">
      <alignment vertical="center"/>
      <protection locked="0"/>
    </xf>
    <xf numFmtId="2" fontId="17" fillId="2" borderId="11" xfId="0" applyNumberFormat="1" applyFont="1" applyFill="1" applyBorder="1" applyAlignment="1" applyProtection="1">
      <alignment vertical="center"/>
      <protection locked="0"/>
    </xf>
    <xf numFmtId="2" fontId="17" fillId="2" borderId="12" xfId="0" applyNumberFormat="1" applyFont="1" applyFill="1" applyBorder="1" applyAlignment="1" applyProtection="1">
      <alignment vertical="center"/>
      <protection locked="0"/>
    </xf>
    <xf numFmtId="2" fontId="10" fillId="2" borderId="14" xfId="0" applyNumberFormat="1" applyFont="1" applyFill="1" applyBorder="1" applyAlignment="1" applyProtection="1">
      <alignment vertical="center"/>
      <protection locked="0"/>
    </xf>
    <xf numFmtId="2" fontId="10" fillId="2" borderId="15" xfId="0" applyNumberFormat="1" applyFont="1" applyFill="1" applyBorder="1" applyAlignment="1" applyProtection="1">
      <alignment vertical="center"/>
      <protection locked="0"/>
    </xf>
    <xf numFmtId="2" fontId="10" fillId="2" borderId="16" xfId="0" applyNumberFormat="1" applyFont="1" applyFill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5" fillId="5" borderId="9" xfId="0" applyFont="1" applyFill="1" applyBorder="1" applyAlignment="1" applyProtection="1">
      <alignment horizontal="left" vertical="center"/>
      <protection locked="0"/>
    </xf>
    <xf numFmtId="2" fontId="17" fillId="2" borderId="7" xfId="0" applyNumberFormat="1" applyFont="1" applyFill="1" applyBorder="1" applyAlignment="1" applyProtection="1">
      <alignment vertical="center"/>
      <protection locked="0"/>
    </xf>
    <xf numFmtId="2" fontId="17" fillId="2" borderId="8" xfId="0" applyNumberFormat="1" applyFont="1" applyFill="1" applyBorder="1" applyAlignment="1" applyProtection="1">
      <alignment vertical="center"/>
      <protection locked="0"/>
    </xf>
    <xf numFmtId="2" fontId="17" fillId="2" borderId="19" xfId="0" applyNumberFormat="1" applyFont="1" applyFill="1" applyBorder="1" applyAlignment="1" applyProtection="1">
      <alignment vertical="center"/>
      <protection locked="0"/>
    </xf>
    <xf numFmtId="2" fontId="17" fillId="2" borderId="20" xfId="0" applyNumberFormat="1" applyFont="1" applyFill="1" applyBorder="1" applyAlignment="1" applyProtection="1">
      <alignment vertical="center"/>
      <protection locked="0"/>
    </xf>
    <xf numFmtId="2" fontId="17" fillId="2" borderId="17" xfId="0" applyNumberFormat="1" applyFont="1" applyFill="1" applyBorder="1" applyAlignment="1" applyProtection="1">
      <alignment vertical="center"/>
      <protection locked="0"/>
    </xf>
    <xf numFmtId="2" fontId="17" fillId="2" borderId="21" xfId="0" applyNumberFormat="1" applyFont="1" applyFill="1" applyBorder="1" applyAlignment="1" applyProtection="1">
      <alignment vertical="center"/>
      <protection locked="0"/>
    </xf>
    <xf numFmtId="0" fontId="5" fillId="5" borderId="13" xfId="0" applyFont="1" applyFill="1" applyBorder="1" applyAlignment="1" applyProtection="1">
      <alignment horizontal="left" vertical="center"/>
      <protection locked="0"/>
    </xf>
    <xf numFmtId="2" fontId="17" fillId="2" borderId="14" xfId="0" applyNumberFormat="1" applyFont="1" applyFill="1" applyBorder="1" applyAlignment="1" applyProtection="1">
      <alignment vertical="center"/>
      <protection locked="0"/>
    </xf>
    <xf numFmtId="2" fontId="17" fillId="2" borderId="15" xfId="0" applyNumberFormat="1" applyFont="1" applyFill="1" applyBorder="1" applyAlignment="1" applyProtection="1">
      <alignment vertical="center"/>
      <protection locked="0"/>
    </xf>
    <xf numFmtId="2" fontId="17" fillId="2" borderId="22" xfId="0" applyNumberFormat="1" applyFont="1" applyFill="1" applyBorder="1" applyAlignment="1" applyProtection="1">
      <alignment vertical="center"/>
      <protection locked="0"/>
    </xf>
    <xf numFmtId="2" fontId="17" fillId="2" borderId="16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22" fillId="7" borderId="2" xfId="0" applyFont="1" applyFill="1" applyBorder="1" applyAlignment="1" applyProtection="1">
      <alignment horizontal="center" vertical="center"/>
      <protection locked="0"/>
    </xf>
    <xf numFmtId="0" fontId="22" fillId="7" borderId="2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" fontId="23" fillId="6" borderId="6" xfId="0" applyNumberFormat="1" applyFont="1" applyFill="1" applyBorder="1" applyAlignment="1" applyProtection="1">
      <alignment horizontal="center" vertical="center"/>
      <protection locked="0"/>
    </xf>
    <xf numFmtId="1" fontId="24" fillId="5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164" fontId="1" fillId="2" borderId="0" xfId="0" applyNumberFormat="1" applyFont="1" applyFill="1" applyAlignment="1" applyProtection="1">
      <alignment vertical="center"/>
      <protection locked="0"/>
    </xf>
    <xf numFmtId="1" fontId="23" fillId="6" borderId="9" xfId="0" applyNumberFormat="1" applyFont="1" applyFill="1" applyBorder="1" applyAlignment="1" applyProtection="1">
      <alignment horizontal="center" vertical="center"/>
      <protection locked="0"/>
    </xf>
    <xf numFmtId="1" fontId="23" fillId="6" borderId="25" xfId="0" applyNumberFormat="1" applyFont="1" applyFill="1" applyBorder="1" applyAlignment="1" applyProtection="1">
      <alignment horizontal="center" vertical="center"/>
      <protection locked="0"/>
    </xf>
    <xf numFmtId="0" fontId="22" fillId="7" borderId="2" xfId="0" applyFont="1" applyFill="1" applyBorder="1" applyAlignment="1" applyProtection="1">
      <alignment horizontal="left" vertical="center"/>
      <protection locked="0"/>
    </xf>
    <xf numFmtId="164" fontId="22" fillId="3" borderId="23" xfId="0" applyNumberFormat="1" applyFont="1" applyFill="1" applyBorder="1" applyAlignment="1" applyProtection="1">
      <alignment horizontal="center" vertical="center"/>
      <protection locked="0"/>
    </xf>
    <xf numFmtId="0" fontId="25" fillId="2" borderId="26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28" fillId="2" borderId="0" xfId="0" applyFont="1" applyFill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vertical="center" wrapText="1"/>
      <protection locked="0"/>
    </xf>
    <xf numFmtId="0" fontId="28" fillId="2" borderId="0" xfId="0" applyFont="1" applyFill="1" applyAlignment="1" applyProtection="1">
      <alignment vertical="center" wrapText="1"/>
      <protection locked="0"/>
    </xf>
    <xf numFmtId="0" fontId="32" fillId="2" borderId="0" xfId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1" xfId="0" quotePrefix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33" fillId="2" borderId="29" xfId="0" quotePrefix="1" applyFont="1" applyFill="1" applyBorder="1" applyAlignment="1" applyProtection="1">
      <alignment horizontal="left" vertical="center"/>
      <protection locked="0"/>
    </xf>
    <xf numFmtId="0" fontId="33" fillId="2" borderId="29" xfId="0" applyFont="1" applyFill="1" applyBorder="1" applyAlignment="1" applyProtection="1">
      <alignment horizontal="left" vertical="center"/>
      <protection locked="0"/>
    </xf>
    <xf numFmtId="0" fontId="1" fillId="2" borderId="29" xfId="0" quotePrefix="1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 applyProtection="1">
      <alignment horizontal="left" vertical="center"/>
      <protection locked="0"/>
    </xf>
    <xf numFmtId="0" fontId="31" fillId="2" borderId="0" xfId="1" applyFont="1" applyFill="1" applyBorder="1" applyAlignment="1" applyProtection="1">
      <alignment horizontal="left" vertical="center"/>
      <protection locked="0"/>
    </xf>
    <xf numFmtId="0" fontId="1" fillId="2" borderId="30" xfId="0" applyFont="1" applyFill="1" applyBorder="1" applyAlignment="1" applyProtection="1">
      <alignment horizontal="left" vertical="center"/>
      <protection locked="0"/>
    </xf>
    <xf numFmtId="0" fontId="31" fillId="2" borderId="0" xfId="1" quotePrefix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66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lo-i-biljka.eu/" TargetMode="External"/><Relationship Id="rId1" Type="http://schemas.openxmlformats.org/officeDocument/2006/relationships/hyperlink" Target="mailto:vuk4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Normal="100" workbookViewId="0">
      <selection sqref="A1:C2"/>
    </sheetView>
  </sheetViews>
  <sheetFormatPr defaultColWidth="9.140625" defaultRowHeight="15.75" x14ac:dyDescent="0.25"/>
  <cols>
    <col min="1" max="1" width="23.85546875" style="1" customWidth="1"/>
    <col min="2" max="16" width="12.7109375" style="1" customWidth="1"/>
    <col min="17" max="17" width="5.7109375" style="1" customWidth="1"/>
    <col min="18" max="16384" width="9.140625" style="1"/>
  </cols>
  <sheetData>
    <row r="1" spans="1:17" ht="26.25" customHeight="1" thickBot="1" x14ac:dyDescent="0.3">
      <c r="A1" s="74" t="s">
        <v>50</v>
      </c>
      <c r="B1" s="75"/>
      <c r="C1" s="75"/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7" ht="20.25" customHeight="1" thickTop="1" thickBot="1" x14ac:dyDescent="0.3">
      <c r="A2" s="75"/>
      <c r="B2" s="75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7" ht="19.5" customHeight="1" thickTop="1" thickBot="1" x14ac:dyDescent="0.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5">
        <v>0.30163194444444402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6">
        <v>1.42361111111111E-2</v>
      </c>
      <c r="O3" s="4" t="s">
        <v>13</v>
      </c>
      <c r="P3" s="7" t="s">
        <v>14</v>
      </c>
    </row>
    <row r="4" spans="1:17" ht="19.5" customHeight="1" thickTop="1" x14ac:dyDescent="0.25">
      <c r="A4" s="8" t="s">
        <v>15</v>
      </c>
      <c r="B4" s="9">
        <v>2000</v>
      </c>
      <c r="C4" s="10">
        <v>880</v>
      </c>
      <c r="D4" s="9">
        <v>2000</v>
      </c>
      <c r="E4" s="9">
        <v>2000</v>
      </c>
      <c r="F4" s="9">
        <v>2000</v>
      </c>
      <c r="G4" s="9">
        <v>2000</v>
      </c>
      <c r="H4" s="10">
        <v>980</v>
      </c>
      <c r="I4" s="9">
        <v>2000</v>
      </c>
      <c r="J4" s="9">
        <v>2000</v>
      </c>
      <c r="K4" s="9">
        <v>2000</v>
      </c>
      <c r="L4" s="9">
        <v>2000</v>
      </c>
      <c r="M4" s="9">
        <v>2000</v>
      </c>
      <c r="N4" s="9">
        <v>2000</v>
      </c>
      <c r="O4" s="9">
        <v>2000</v>
      </c>
      <c r="P4" s="9">
        <v>2000</v>
      </c>
    </row>
    <row r="5" spans="1:17" ht="19.5" customHeight="1" x14ac:dyDescent="0.25">
      <c r="A5" s="11" t="s">
        <v>16</v>
      </c>
      <c r="B5" s="12">
        <f>B4/(0.46*1000)</f>
        <v>4.3478260869565215</v>
      </c>
      <c r="C5" s="13">
        <f>C4/(0.27*1000)</f>
        <v>3.2592592592592591</v>
      </c>
      <c r="D5" s="13">
        <f>D4/(0.3*1000)</f>
        <v>6.666666666666667</v>
      </c>
      <c r="E5" s="13">
        <f>E4/(0.26*1000)</f>
        <v>7.6923076923076925</v>
      </c>
      <c r="F5" s="13">
        <f>F4/(0.07*1000)</f>
        <v>28.571428571428573</v>
      </c>
      <c r="G5" s="13">
        <f>G4/(0.13*1000)</f>
        <v>15.384615384615385</v>
      </c>
      <c r="H5" s="13">
        <f>H4/(0.07*1000)</f>
        <v>14</v>
      </c>
      <c r="I5" s="13">
        <f>I4/(0.12*1000)</f>
        <v>16.666666666666668</v>
      </c>
      <c r="J5" s="13">
        <f>J4/(0.2*1000)</f>
        <v>10</v>
      </c>
      <c r="K5" s="13">
        <f>K4/(0.15*1000)</f>
        <v>13.333333333333334</v>
      </c>
      <c r="L5" s="13">
        <f>L4/(0.08*1000)</f>
        <v>25</v>
      </c>
      <c r="M5" s="13">
        <f>M4/(0.2*1000)</f>
        <v>10</v>
      </c>
      <c r="N5" s="13"/>
      <c r="O5" s="13">
        <f>O4/(0.12*1000)</f>
        <v>16.666666666666668</v>
      </c>
      <c r="P5" s="14"/>
    </row>
    <row r="6" spans="1:17" ht="19.5" customHeight="1" x14ac:dyDescent="0.25">
      <c r="A6" s="11" t="s">
        <v>17</v>
      </c>
      <c r="B6" s="15"/>
      <c r="C6" s="16"/>
      <c r="D6" s="16"/>
      <c r="E6" s="16"/>
      <c r="F6" s="16">
        <f>F4/(0.14*1000)</f>
        <v>14.285714285714286</v>
      </c>
      <c r="G6" s="16">
        <f>G4/(0.1*1000)</f>
        <v>20</v>
      </c>
      <c r="H6" s="16">
        <f>H4/(0.2*1000)</f>
        <v>4.9000000000000004</v>
      </c>
      <c r="I6" s="16">
        <f>I4/(0.06*1000)</f>
        <v>33.333333333333336</v>
      </c>
      <c r="J6" s="16">
        <f>J4/(0.1*1000)</f>
        <v>20</v>
      </c>
      <c r="K6" s="16">
        <f>K4/(0.15*1000)</f>
        <v>13.333333333333334</v>
      </c>
      <c r="L6" s="16">
        <f>L4/(0.16*1000)</f>
        <v>12.5</v>
      </c>
      <c r="M6" s="16">
        <f>M4/(0.2*1000)</f>
        <v>10</v>
      </c>
      <c r="N6" s="16">
        <f>N4/(0.2*1000)</f>
        <v>10</v>
      </c>
      <c r="O6" s="16">
        <f>O4/(0.52*1000)</f>
        <v>3.8461538461538463</v>
      </c>
      <c r="P6" s="17"/>
    </row>
    <row r="7" spans="1:17" ht="19.5" customHeight="1" thickBot="1" x14ac:dyDescent="0.3">
      <c r="A7" s="18" t="s">
        <v>18</v>
      </c>
      <c r="B7" s="19"/>
      <c r="C7" s="20"/>
      <c r="D7" s="20"/>
      <c r="E7" s="20"/>
      <c r="F7" s="20">
        <f>F4/(0.21*1000)</f>
        <v>9.5238095238095237</v>
      </c>
      <c r="G7" s="20">
        <f>G4/(0.12*1000)</f>
        <v>16.666666666666668</v>
      </c>
      <c r="H7" s="20">
        <f>H4/(0.3*1000)</f>
        <v>3.2666666666666666</v>
      </c>
      <c r="I7" s="20">
        <f>I4/(0.18*1000)</f>
        <v>11.111111111111111</v>
      </c>
      <c r="J7" s="20">
        <f>J4/(0.1*1000)</f>
        <v>20</v>
      </c>
      <c r="K7" s="20">
        <f>K4/(0.15*1000)</f>
        <v>13.333333333333334</v>
      </c>
      <c r="L7" s="20">
        <f>L4/(0.24*1000)</f>
        <v>8.3333333333333339</v>
      </c>
      <c r="M7" s="20"/>
      <c r="N7" s="20">
        <f>N4/(0.3*1000)</f>
        <v>6.666666666666667</v>
      </c>
      <c r="O7" s="20"/>
      <c r="P7" s="21">
        <f>P4/(0.6*1000)</f>
        <v>3.3333333333333335</v>
      </c>
    </row>
    <row r="8" spans="1:17" s="24" customFormat="1" ht="21.75" customHeight="1" thickTop="1" thickBot="1" x14ac:dyDescent="0.3">
      <c r="A8" s="22" t="s">
        <v>19</v>
      </c>
      <c r="B8" s="23" t="str">
        <f t="shared" ref="B8:P8" si="0">IF(B10&gt;0,"●","")</f>
        <v/>
      </c>
      <c r="C8" s="23" t="str">
        <f t="shared" si="0"/>
        <v>●</v>
      </c>
      <c r="D8" s="23" t="str">
        <f t="shared" si="0"/>
        <v/>
      </c>
      <c r="E8" s="23" t="str">
        <f t="shared" si="0"/>
        <v/>
      </c>
      <c r="F8" s="23" t="str">
        <f t="shared" si="0"/>
        <v/>
      </c>
      <c r="G8" s="23" t="str">
        <f t="shared" si="0"/>
        <v/>
      </c>
      <c r="H8" s="23" t="str">
        <f t="shared" si="0"/>
        <v>●</v>
      </c>
      <c r="I8" s="23" t="str">
        <f t="shared" si="0"/>
        <v/>
      </c>
      <c r="J8" s="23" t="str">
        <f t="shared" si="0"/>
        <v/>
      </c>
      <c r="K8" s="23" t="str">
        <f t="shared" si="0"/>
        <v/>
      </c>
      <c r="L8" s="23" t="str">
        <f t="shared" si="0"/>
        <v/>
      </c>
      <c r="M8" s="23" t="str">
        <f t="shared" si="0"/>
        <v/>
      </c>
      <c r="N8" s="23" t="str">
        <f t="shared" si="0"/>
        <v/>
      </c>
      <c r="O8" s="23" t="str">
        <f t="shared" si="0"/>
        <v/>
      </c>
      <c r="P8" s="23" t="str">
        <f t="shared" si="0"/>
        <v/>
      </c>
    </row>
    <row r="9" spans="1:17" ht="19.5" customHeight="1" thickTop="1" thickBot="1" x14ac:dyDescent="0.3">
      <c r="A9" s="2" t="s">
        <v>20</v>
      </c>
      <c r="B9" s="3" t="s">
        <v>2</v>
      </c>
      <c r="C9" s="4" t="s">
        <v>3</v>
      </c>
      <c r="D9" s="4" t="s">
        <v>4</v>
      </c>
      <c r="E9" s="4" t="s">
        <v>5</v>
      </c>
      <c r="F9" s="5">
        <v>0.30163194444444402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6" t="s">
        <v>12</v>
      </c>
      <c r="N9" s="6">
        <v>1.42361111111111E-2</v>
      </c>
      <c r="O9" s="4" t="s">
        <v>13</v>
      </c>
      <c r="P9" s="7" t="s">
        <v>14</v>
      </c>
    </row>
    <row r="10" spans="1:17" ht="19.5" customHeight="1" thickTop="1" x14ac:dyDescent="0.25">
      <c r="A10" s="8" t="s">
        <v>21</v>
      </c>
      <c r="B10" s="25">
        <v>0</v>
      </c>
      <c r="C10" s="26">
        <v>151.72839506172832</v>
      </c>
      <c r="D10" s="26">
        <v>0</v>
      </c>
      <c r="E10" s="26">
        <v>0</v>
      </c>
      <c r="F10" s="26">
        <v>0</v>
      </c>
      <c r="G10" s="26">
        <v>0</v>
      </c>
      <c r="H10" s="26">
        <v>343.33333333333343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7">
        <v>0</v>
      </c>
    </row>
    <row r="11" spans="1:17" ht="19.5" customHeight="1" x14ac:dyDescent="0.25">
      <c r="A11" s="11" t="s">
        <v>22</v>
      </c>
      <c r="B11" s="28">
        <f>B4/1000</f>
        <v>2</v>
      </c>
      <c r="C11" s="29">
        <f>C4/1000</f>
        <v>0.88</v>
      </c>
      <c r="D11" s="29">
        <f>D4/1000</f>
        <v>2</v>
      </c>
      <c r="E11" s="29">
        <f>D4/1000</f>
        <v>2</v>
      </c>
      <c r="F11" s="29">
        <f t="shared" ref="F11:P11" si="1">F4/1000</f>
        <v>2</v>
      </c>
      <c r="G11" s="29">
        <f t="shared" si="1"/>
        <v>2</v>
      </c>
      <c r="H11" s="29">
        <f t="shared" si="1"/>
        <v>0.98</v>
      </c>
      <c r="I11" s="29">
        <f t="shared" si="1"/>
        <v>2</v>
      </c>
      <c r="J11" s="29">
        <f t="shared" si="1"/>
        <v>2</v>
      </c>
      <c r="K11" s="29">
        <f t="shared" si="1"/>
        <v>2</v>
      </c>
      <c r="L11" s="29">
        <f t="shared" si="1"/>
        <v>2</v>
      </c>
      <c r="M11" s="29">
        <f t="shared" si="1"/>
        <v>2</v>
      </c>
      <c r="N11" s="29">
        <f t="shared" si="1"/>
        <v>2</v>
      </c>
      <c r="O11" s="29">
        <f t="shared" si="1"/>
        <v>2</v>
      </c>
      <c r="P11" s="30">
        <f t="shared" si="1"/>
        <v>2</v>
      </c>
    </row>
    <row r="12" spans="1:17" ht="19.5" customHeight="1" thickBot="1" x14ac:dyDescent="0.3">
      <c r="A12" s="18" t="s">
        <v>23</v>
      </c>
      <c r="B12" s="31">
        <f t="shared" ref="B12:P12" si="2">B10*B11</f>
        <v>0</v>
      </c>
      <c r="C12" s="32">
        <f t="shared" si="2"/>
        <v>133.52098765432092</v>
      </c>
      <c r="D12" s="32">
        <f t="shared" si="2"/>
        <v>0</v>
      </c>
      <c r="E12" s="32">
        <f t="shared" si="2"/>
        <v>0</v>
      </c>
      <c r="F12" s="32">
        <f t="shared" si="2"/>
        <v>0</v>
      </c>
      <c r="G12" s="32">
        <f t="shared" si="2"/>
        <v>0</v>
      </c>
      <c r="H12" s="32">
        <f t="shared" si="2"/>
        <v>336.46666666666675</v>
      </c>
      <c r="I12" s="32">
        <f t="shared" si="2"/>
        <v>0</v>
      </c>
      <c r="J12" s="32">
        <f t="shared" si="2"/>
        <v>0</v>
      </c>
      <c r="K12" s="32">
        <f t="shared" si="2"/>
        <v>0</v>
      </c>
      <c r="L12" s="32">
        <f t="shared" si="2"/>
        <v>0</v>
      </c>
      <c r="M12" s="32">
        <f t="shared" si="2"/>
        <v>0</v>
      </c>
      <c r="N12" s="32">
        <f t="shared" si="2"/>
        <v>0</v>
      </c>
      <c r="O12" s="32">
        <f t="shared" si="2"/>
        <v>0</v>
      </c>
      <c r="P12" s="33">
        <f t="shared" si="2"/>
        <v>0</v>
      </c>
      <c r="Q12" s="34"/>
    </row>
    <row r="13" spans="1:17" ht="19.5" customHeight="1" thickTop="1" thickBot="1" x14ac:dyDescent="0.3">
      <c r="A13" s="35"/>
      <c r="Q13" s="36"/>
    </row>
    <row r="14" spans="1:17" ht="19.5" customHeight="1" thickTop="1" thickBot="1" x14ac:dyDescent="0.3">
      <c r="A14" s="2" t="s">
        <v>24</v>
      </c>
      <c r="B14" s="3" t="s">
        <v>2</v>
      </c>
      <c r="C14" s="4" t="s">
        <v>3</v>
      </c>
      <c r="D14" s="4" t="s">
        <v>4</v>
      </c>
      <c r="E14" s="4" t="s">
        <v>5</v>
      </c>
      <c r="F14" s="5">
        <v>0.30163194444444402</v>
      </c>
      <c r="G14" s="5" t="s">
        <v>6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6" t="s">
        <v>12</v>
      </c>
      <c r="N14" s="6">
        <v>1.42361111111111E-2</v>
      </c>
      <c r="O14" s="4" t="s">
        <v>13</v>
      </c>
      <c r="P14" s="7" t="s">
        <v>14</v>
      </c>
      <c r="Q14" s="37"/>
    </row>
    <row r="15" spans="1:17" ht="19.5" customHeight="1" thickTop="1" x14ac:dyDescent="0.25">
      <c r="A15" s="38" t="s">
        <v>25</v>
      </c>
      <c r="B15" s="39">
        <f>IF(B$10&gt;0,46,0)</f>
        <v>0</v>
      </c>
      <c r="C15" s="40">
        <f>IF(C$10&gt;0,27,0)</f>
        <v>27</v>
      </c>
      <c r="D15" s="40">
        <f>IF(D$10&gt;0,30,0)</f>
        <v>0</v>
      </c>
      <c r="E15" s="40">
        <f>IF(E$10&gt;0,26,0)</f>
        <v>0</v>
      </c>
      <c r="F15" s="40">
        <f>IF(F$10&gt;0,7,0)</f>
        <v>0</v>
      </c>
      <c r="G15" s="40">
        <f>IF(G$10&gt;0,13,0)</f>
        <v>0</v>
      </c>
      <c r="H15" s="40">
        <f>IF(H$10&gt;0,7,0)</f>
        <v>7</v>
      </c>
      <c r="I15" s="40">
        <f>IF(I$10&gt;0,12,0)</f>
        <v>0</v>
      </c>
      <c r="J15" s="40">
        <f>IF(J$10&gt;0,20,0)</f>
        <v>0</v>
      </c>
      <c r="K15" s="41">
        <f>IF(K$10&gt;0,15,0)</f>
        <v>0</v>
      </c>
      <c r="L15" s="40">
        <f>IF(L$10&gt;0,8,0)</f>
        <v>0</v>
      </c>
      <c r="M15" s="42">
        <f>IF(M$10&gt;0,20,0)</f>
        <v>0</v>
      </c>
      <c r="N15" s="42">
        <f>IF(N$10&gt;0,0,0)</f>
        <v>0</v>
      </c>
      <c r="O15" s="42">
        <f>IF(O$10&gt;0,12,0)</f>
        <v>0</v>
      </c>
      <c r="P15" s="43">
        <f>IF(P$10&gt;0,0,0)</f>
        <v>0</v>
      </c>
    </row>
    <row r="16" spans="1:17" ht="19.5" customHeight="1" x14ac:dyDescent="0.25">
      <c r="A16" s="38" t="s">
        <v>26</v>
      </c>
      <c r="B16" s="28">
        <f t="shared" ref="B16:E17" si="3">IF(B$10&gt;0,0,0)</f>
        <v>0</v>
      </c>
      <c r="C16" s="29">
        <f t="shared" si="3"/>
        <v>0</v>
      </c>
      <c r="D16" s="29">
        <f t="shared" si="3"/>
        <v>0</v>
      </c>
      <c r="E16" s="29">
        <f t="shared" si="3"/>
        <v>0</v>
      </c>
      <c r="F16" s="29">
        <f>IF(F$10&gt;0,14,0)</f>
        <v>0</v>
      </c>
      <c r="G16" s="29">
        <f>IF(G$10&gt;0,10,0)</f>
        <v>0</v>
      </c>
      <c r="H16" s="29">
        <f>IF(H$10&gt;0,20,0)</f>
        <v>20</v>
      </c>
      <c r="I16" s="29">
        <f>IF(I$10&gt;0,6,0)</f>
        <v>0</v>
      </c>
      <c r="J16" s="29">
        <f>IF(J$10&gt;0,10,0)</f>
        <v>0</v>
      </c>
      <c r="K16" s="44">
        <f>IF(K$10&gt;0,15,0)</f>
        <v>0</v>
      </c>
      <c r="L16" s="29">
        <f>IF(L$10&gt;0,16,0)</f>
        <v>0</v>
      </c>
      <c r="M16" s="29">
        <f>IF(M$10&gt;0,20,0)</f>
        <v>0</v>
      </c>
      <c r="N16" s="29">
        <f>IF(N$10&gt;0,20,0)</f>
        <v>0</v>
      </c>
      <c r="O16" s="29">
        <f>IF(O$10&gt;0,52,0)</f>
        <v>0</v>
      </c>
      <c r="P16" s="30">
        <f>IF(P$10&gt;0,0,0)</f>
        <v>0</v>
      </c>
    </row>
    <row r="17" spans="1:17" ht="19.5" customHeight="1" thickBot="1" x14ac:dyDescent="0.3">
      <c r="A17" s="45" t="s">
        <v>27</v>
      </c>
      <c r="B17" s="46">
        <f t="shared" si="3"/>
        <v>0</v>
      </c>
      <c r="C17" s="47">
        <f t="shared" si="3"/>
        <v>0</v>
      </c>
      <c r="D17" s="47">
        <f t="shared" si="3"/>
        <v>0</v>
      </c>
      <c r="E17" s="47">
        <f t="shared" si="3"/>
        <v>0</v>
      </c>
      <c r="F17" s="47">
        <f>IF(F$10&gt;0,21,0)</f>
        <v>0</v>
      </c>
      <c r="G17" s="47">
        <f>IF(G$10&gt;0,12,0)</f>
        <v>0</v>
      </c>
      <c r="H17" s="47">
        <f>IF(H$10&gt;0,30,0)</f>
        <v>30</v>
      </c>
      <c r="I17" s="47">
        <f>IF(I$10&gt;0,18,0)</f>
        <v>0</v>
      </c>
      <c r="J17" s="47">
        <f>IF(J$10&gt;0,10,0)</f>
        <v>0</v>
      </c>
      <c r="K17" s="48">
        <f>IF(K$10&gt;0,15,0)</f>
        <v>0</v>
      </c>
      <c r="L17" s="47">
        <f>IF(L$10&gt;0,24,0)</f>
        <v>0</v>
      </c>
      <c r="M17" s="47">
        <f>IF(M$10&gt;0,0,0)</f>
        <v>0</v>
      </c>
      <c r="N17" s="47">
        <f>IF(N$10&gt;0,30,0)</f>
        <v>0</v>
      </c>
      <c r="O17" s="47">
        <f>IF(O$10&gt;0,0,0)</f>
        <v>0</v>
      </c>
      <c r="P17" s="49">
        <f>IF(P$10&gt;0,60,0)</f>
        <v>0</v>
      </c>
    </row>
    <row r="18" spans="1:17" ht="19.5" customHeight="1" thickTop="1" thickBot="1" x14ac:dyDescent="0.3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9.5" customHeight="1" thickTop="1" thickBot="1" x14ac:dyDescent="0.3">
      <c r="A19" s="53" t="s">
        <v>28</v>
      </c>
      <c r="B19" s="54" t="s">
        <v>29</v>
      </c>
      <c r="C19" s="51"/>
      <c r="D19" s="55"/>
      <c r="L19" s="51"/>
      <c r="P19" s="51"/>
      <c r="Q19" s="52"/>
    </row>
    <row r="20" spans="1:17" ht="19.5" customHeight="1" thickTop="1" x14ac:dyDescent="0.25">
      <c r="A20" s="56">
        <v>65</v>
      </c>
      <c r="B20" s="57">
        <f>($B$10*B15/100)+($C$10*C15/100)+($D$10*D15/100)+($E$10*E15/100)+($F$10*F15/100)+($G$10*G15/100)+($H$10*H15/100)+($I$10*I15/100)+($J$10*J15/100)+($K$10*K15/100)+($L$10*L15/100)+($M$10*M15/100)+($N$10*N15/100)+($O$10*O15/100)+($P$10*P15/100)</f>
        <v>64.999999999999972</v>
      </c>
      <c r="C20" s="51"/>
      <c r="D20" s="58"/>
      <c r="F20" s="59"/>
      <c r="L20" s="51"/>
      <c r="P20" s="51"/>
      <c r="Q20" s="52"/>
    </row>
    <row r="21" spans="1:17" ht="19.5" customHeight="1" x14ac:dyDescent="0.25">
      <c r="A21" s="60">
        <v>66</v>
      </c>
      <c r="B21" s="57">
        <f>($B$10*B16/100)+($C$10*C16/100)+($D$10*D16/100)+($E$10*E16/100)+($F$10*F16/100)+($G$10*G16/100)+($H$10*H16/100)+($I$10*I16/100)+($J$10*J16/100)+($K$10*K16/100)+($L$10*L16/100)+($M$10*M16/100)+($N$10*N16/100)+($O$10*O16/100)+($P$10*P16/100)</f>
        <v>68.666666666666686</v>
      </c>
      <c r="C21" s="51"/>
      <c r="D21" s="58"/>
      <c r="F21" s="59"/>
      <c r="L21" s="51"/>
      <c r="P21" s="51"/>
      <c r="Q21" s="52"/>
    </row>
    <row r="22" spans="1:17" ht="19.5" customHeight="1" thickBot="1" x14ac:dyDescent="0.3">
      <c r="A22" s="61">
        <v>103</v>
      </c>
      <c r="B22" s="57">
        <f>($B$10*B17/100)+($C$10*C17/100)+($D$10*D17/100)+($E$10*E17/100)+($F$10*F17/100)+($G$10*G17/100)+($H$10*H17/100)+($I$10*I17/100)+($J$10*J17/100)+($K$10*K17/100)+($L$10*L17/100)+($M$10*M17/100)+($N$10*N17/100)+($O$10*O17/100)+($P$10*P17/100)</f>
        <v>103.00000000000004</v>
      </c>
      <c r="C22" s="51"/>
      <c r="D22" s="58"/>
      <c r="F22" s="59"/>
      <c r="L22" s="51"/>
      <c r="P22" s="51"/>
      <c r="Q22" s="52"/>
    </row>
    <row r="23" spans="1:17" ht="19.5" customHeight="1" thickTop="1" thickBot="1" x14ac:dyDescent="0.3">
      <c r="A23" s="62" t="s">
        <v>30</v>
      </c>
      <c r="B23" s="63">
        <f>SUM(B12:P12)</f>
        <v>469.98765432098764</v>
      </c>
      <c r="C23" s="51"/>
      <c r="D23" s="58"/>
      <c r="L23" s="51"/>
      <c r="P23" s="51"/>
      <c r="Q23" s="52"/>
    </row>
    <row r="24" spans="1:17" ht="15" customHeight="1" thickTop="1" x14ac:dyDescent="0.25">
      <c r="P24" s="52"/>
      <c r="Q24" s="52"/>
    </row>
    <row r="25" spans="1:17" ht="15" customHeight="1" thickBot="1" x14ac:dyDescent="0.3">
      <c r="P25" s="52"/>
      <c r="Q25" s="52"/>
    </row>
    <row r="26" spans="1:17" ht="15" customHeight="1" x14ac:dyDescent="0.25">
      <c r="A26" s="64" t="s">
        <v>31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52"/>
      <c r="Q26" s="52"/>
    </row>
    <row r="27" spans="1:17" ht="15" customHeight="1" x14ac:dyDescent="0.25">
      <c r="A27" s="77" t="s">
        <v>32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67"/>
      <c r="Q27" s="52"/>
    </row>
    <row r="28" spans="1:17" ht="15" customHeight="1" x14ac:dyDescent="0.25">
      <c r="A28" s="77" t="s">
        <v>33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Q28" s="52"/>
    </row>
    <row r="29" spans="1:17" ht="15" customHeight="1" x14ac:dyDescent="0.25">
      <c r="A29" s="77" t="s">
        <v>34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52"/>
    </row>
    <row r="30" spans="1:17" ht="15" customHeight="1" x14ac:dyDescent="0.25">
      <c r="A30" s="77" t="s">
        <v>35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51"/>
      <c r="Q30" s="52"/>
    </row>
    <row r="31" spans="1:17" ht="15" customHeight="1" x14ac:dyDescent="0.25">
      <c r="A31" s="78" t="s">
        <v>51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52"/>
      <c r="Q31" s="52"/>
    </row>
    <row r="32" spans="1:17" ht="15" customHeight="1" x14ac:dyDescent="0.25">
      <c r="A32" s="80" t="s">
        <v>52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52"/>
      <c r="Q32" s="52"/>
    </row>
    <row r="33" spans="1:17" ht="15" customHeight="1" x14ac:dyDescent="0.25">
      <c r="A33" s="77" t="s">
        <v>36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52"/>
      <c r="Q33" s="68"/>
    </row>
    <row r="34" spans="1:17" ht="15" customHeight="1" x14ac:dyDescent="0.25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52"/>
      <c r="Q34" s="69"/>
    </row>
    <row r="35" spans="1:17" ht="15" customHeight="1" x14ac:dyDescent="0.25">
      <c r="A35" s="77" t="s">
        <v>38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52"/>
      <c r="Q35" s="70"/>
    </row>
    <row r="36" spans="1:17" ht="15" customHeight="1" x14ac:dyDescent="0.25">
      <c r="A36" s="77" t="s">
        <v>39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52"/>
      <c r="Q36" s="70"/>
    </row>
    <row r="37" spans="1:17" ht="15" customHeight="1" x14ac:dyDescent="0.25">
      <c r="A37" s="77" t="s">
        <v>40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52"/>
      <c r="Q37" s="69"/>
    </row>
    <row r="38" spans="1:17" ht="15" customHeight="1" x14ac:dyDescent="0.25">
      <c r="A38" s="77" t="s">
        <v>41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Q38" s="71"/>
    </row>
    <row r="39" spans="1:17" ht="15" customHeight="1" x14ac:dyDescent="0.25">
      <c r="A39" s="77" t="s">
        <v>42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Q39" s="71"/>
    </row>
    <row r="40" spans="1:17" ht="15" customHeight="1" x14ac:dyDescent="0.25">
      <c r="A40" s="77" t="s">
        <v>43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Q40" s="71"/>
    </row>
    <row r="41" spans="1:17" ht="15" customHeight="1" x14ac:dyDescent="0.25">
      <c r="A41" s="80" t="s">
        <v>53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1"/>
    </row>
    <row r="42" spans="1:17" ht="15" customHeight="1" x14ac:dyDescent="0.25">
      <c r="A42" s="77" t="s">
        <v>44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1:17" ht="15" customHeight="1" x14ac:dyDescent="0.25">
      <c r="A43" s="77" t="s">
        <v>45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Q43" s="72"/>
    </row>
    <row r="44" spans="1:17" ht="15" customHeight="1" thickBot="1" x14ac:dyDescent="0.3">
      <c r="A44" s="83" t="s">
        <v>46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7" ht="15" customHeight="1" x14ac:dyDescent="0.25"/>
    <row r="46" spans="1:17" ht="15" customHeight="1" x14ac:dyDescent="0.25">
      <c r="A46" s="81" t="s">
        <v>47</v>
      </c>
      <c r="B46" s="81"/>
      <c r="C46" s="81"/>
    </row>
    <row r="47" spans="1:17" ht="15" customHeight="1" x14ac:dyDescent="0.25">
      <c r="A47" s="82" t="s">
        <v>48</v>
      </c>
      <c r="B47" s="82"/>
      <c r="C47" s="82"/>
    </row>
    <row r="48" spans="1:17" ht="15" customHeight="1" x14ac:dyDescent="0.25">
      <c r="A48" s="84" t="s">
        <v>54</v>
      </c>
      <c r="B48" s="82"/>
      <c r="C48" s="82"/>
    </row>
    <row r="49" spans="1:1" ht="15" customHeight="1" x14ac:dyDescent="0.25">
      <c r="A49" s="73" t="s">
        <v>49</v>
      </c>
    </row>
  </sheetData>
  <mergeCells count="23">
    <mergeCell ref="A46:C46"/>
    <mergeCell ref="A47:C47"/>
    <mergeCell ref="A48:C48"/>
    <mergeCell ref="A40:O40"/>
    <mergeCell ref="A41:O41"/>
    <mergeCell ref="A42:O42"/>
    <mergeCell ref="A43:O43"/>
    <mergeCell ref="A44:O44"/>
    <mergeCell ref="A35:O35"/>
    <mergeCell ref="A36:O36"/>
    <mergeCell ref="A37:O37"/>
    <mergeCell ref="A38:O38"/>
    <mergeCell ref="A39:O39"/>
    <mergeCell ref="A30:O30"/>
    <mergeCell ref="A31:O31"/>
    <mergeCell ref="A32:O32"/>
    <mergeCell ref="A33:O33"/>
    <mergeCell ref="A34:O34"/>
    <mergeCell ref="A1:C2"/>
    <mergeCell ref="D1:P2"/>
    <mergeCell ref="A27:O27"/>
    <mergeCell ref="A28:O28"/>
    <mergeCell ref="A29:O29"/>
  </mergeCells>
  <hyperlinks>
    <hyperlink ref="A47" r:id="rId1"/>
    <hyperlink ref="A48" r:id="rId2" display="http://tlo-i-biljka.eu"/>
  </hyperlink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Optimizacija mineralne gnojidbe</dc:title>
  <dc:creator>Prof. dr. sc. Vladimir Vukadinović</dc:creator>
  <cp:keywords>Optimixfert v2.1</cp:keywords>
  <cp:lastModifiedBy>Vladimir-HP</cp:lastModifiedBy>
  <cp:revision>1</cp:revision>
  <dcterms:created xsi:type="dcterms:W3CDTF">2010-01-12T13:22:04Z</dcterms:created>
  <dcterms:modified xsi:type="dcterms:W3CDTF">2023-03-05T06:34:13Z</dcterms:modified>
  <cp:category>Simplex kalkulator</cp:category>
  <dc:language>hr-HR</dc:language>
</cp:coreProperties>
</file>