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TML_public\HTML_Avalon\Kalkulatori\"/>
    </mc:Choice>
  </mc:AlternateContent>
  <xr:revisionPtr revIDLastSave="0" documentId="8_{FF0EA62E-1D02-4A97-ABF5-9F6EFA8F0CED}" xr6:coauthVersionLast="38" xr6:coauthVersionMax="38" xr10:uidLastSave="{00000000-0000-0000-0000-000000000000}"/>
  <bookViews>
    <workbookView xWindow="480" yWindow="45" windowWidth="27795" windowHeight="11910" xr2:uid="{00000000-000D-0000-FFFF-FFFF00000000}"/>
  </bookViews>
  <sheets>
    <sheet name="Nitratna direktiva" sheetId="1" r:id="rId1"/>
  </sheets>
  <calcPr calcId="181029"/>
</workbook>
</file>

<file path=xl/calcChain.xml><?xml version="1.0" encoding="utf-8"?>
<calcChain xmlns="http://schemas.openxmlformats.org/spreadsheetml/2006/main">
  <c r="G16" i="1" l="1"/>
  <c r="H15" i="1"/>
  <c r="G15" i="1"/>
  <c r="H14" i="1"/>
  <c r="G14" i="1"/>
  <c r="H10" i="1"/>
  <c r="G10" i="1"/>
  <c r="H9" i="1"/>
  <c r="G9" i="1"/>
  <c r="H8" i="1"/>
  <c r="G8" i="1"/>
  <c r="H7" i="1"/>
  <c r="G7" i="1"/>
  <c r="H6" i="1"/>
  <c r="G6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C6" i="1" l="1"/>
  <c r="B20" i="1" l="1"/>
  <c r="C19" i="1"/>
  <c r="C10" i="1"/>
  <c r="D19" i="1" l="1"/>
  <c r="E19" i="1" s="1"/>
  <c r="D10" i="1"/>
  <c r="E10" i="1" s="1"/>
  <c r="D6" i="1"/>
  <c r="C14" i="1"/>
  <c r="C18" i="1"/>
  <c r="C17" i="1"/>
  <c r="C16" i="1"/>
  <c r="C15" i="1"/>
  <c r="C13" i="1"/>
  <c r="C12" i="1"/>
  <c r="C11" i="1"/>
  <c r="C9" i="1"/>
  <c r="C8" i="1"/>
  <c r="C7" i="1"/>
  <c r="E6" i="1" l="1"/>
  <c r="C20" i="1"/>
  <c r="D18" i="1"/>
  <c r="E18" i="1" s="1"/>
  <c r="D16" i="1"/>
  <c r="E16" i="1" s="1"/>
  <c r="D7" i="1"/>
  <c r="E7" i="1" s="1"/>
  <c r="D12" i="1"/>
  <c r="E12" i="1" s="1"/>
  <c r="D13" i="1"/>
  <c r="E13" i="1" s="1"/>
  <c r="D17" i="1"/>
  <c r="E17" i="1" s="1"/>
  <c r="D15" i="1"/>
  <c r="E15" i="1" s="1"/>
  <c r="D14" i="1"/>
  <c r="D11" i="1"/>
  <c r="E11" i="1" s="1"/>
  <c r="D8" i="1"/>
  <c r="E8" i="1" s="1"/>
  <c r="D9" i="1"/>
  <c r="E9" i="1" s="1"/>
  <c r="F20" i="1" l="1"/>
  <c r="G20" i="1"/>
  <c r="H20" i="1"/>
  <c r="D20" i="1"/>
  <c r="E14" i="1"/>
  <c r="E20" i="1" s="1"/>
  <c r="C2" i="1" l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</author>
  </authors>
  <commentList>
    <comment ref="B66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Vladimir: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<sst xmlns="http://schemas.openxmlformats.org/spreadsheetml/2006/main" count="134" uniqueCount="85">
  <si>
    <t>Vrsta životinja</t>
  </si>
  <si>
    <t>Broj životinja</t>
  </si>
  <si>
    <t>Brojleri</t>
  </si>
  <si>
    <t>N kg/god.</t>
  </si>
  <si>
    <t>Uvjetna grla</t>
  </si>
  <si>
    <t>Kruti st. gnoj</t>
  </si>
  <si>
    <t>Gnojovka</t>
  </si>
  <si>
    <t>Gnojnica</t>
  </si>
  <si>
    <t>Odrasla goveda</t>
  </si>
  <si>
    <t>Goveda 1-2 god.</t>
  </si>
  <si>
    <t>Junice 6-12 mj.</t>
  </si>
  <si>
    <t>Telad do 6. mj.</t>
  </si>
  <si>
    <t>Odrasli konji</t>
  </si>
  <si>
    <t>Ždrebad i omad</t>
  </si>
  <si>
    <t>Ovce i koze</t>
  </si>
  <si>
    <t>Rasplodne krmače i nerasti</t>
  </si>
  <si>
    <t>Tovne svinje</t>
  </si>
  <si>
    <t>Kokoši i nesilice</t>
  </si>
  <si>
    <t>Purani</t>
  </si>
  <si>
    <t>Ukupno:</t>
  </si>
  <si>
    <t>UG/životinja</t>
  </si>
  <si>
    <t>Dopušteno UG/ha</t>
  </si>
  <si>
    <t>Koeficijenti uvjetnih grla, količina proizvedenog dušika i dopušteno opterećenje:</t>
  </si>
  <si>
    <t>N</t>
  </si>
  <si>
    <t>Goveđi</t>
  </si>
  <si>
    <t>Konjski</t>
  </si>
  <si>
    <t>Ovčji</t>
  </si>
  <si>
    <t>Svinjski</t>
  </si>
  <si>
    <t>Kokošji</t>
  </si>
  <si>
    <t>Brojlerski</t>
  </si>
  <si>
    <t>Vrsta gnoja</t>
  </si>
  <si>
    <t>N %</t>
  </si>
  <si>
    <t>Goveđi kompost</t>
  </si>
  <si>
    <t>Goveđa gnojovka</t>
  </si>
  <si>
    <t>Svinjska gnojovka</t>
  </si>
  <si>
    <t>Sadržaj aktivne tvari hraniva (kg/ha)</t>
  </si>
  <si>
    <t>Dopušteno gnoja
t/ha</t>
  </si>
  <si>
    <t>Dopušteno
N kg/ha</t>
  </si>
  <si>
    <r>
      <t>P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O</t>
    </r>
    <r>
      <rPr>
        <b/>
        <vertAlign val="subscript"/>
        <sz val="12"/>
        <color theme="1"/>
        <rFont val="Calibri"/>
        <family val="2"/>
        <charset val="238"/>
        <scheme val="minor"/>
      </rPr>
      <t>5</t>
    </r>
    <r>
      <rPr>
        <b/>
        <sz val="12"/>
        <color theme="1"/>
        <rFont val="Calibri"/>
        <family val="2"/>
        <charset val="238"/>
        <scheme val="minor"/>
      </rPr>
      <t xml:space="preserve"> %</t>
    </r>
  </si>
  <si>
    <r>
      <t>K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O %</t>
    </r>
  </si>
  <si>
    <r>
      <t>P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O5</t>
    </r>
  </si>
  <si>
    <r>
      <t>K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O</t>
    </r>
  </si>
  <si>
    <t>42.0 t/ha</t>
  </si>
  <si>
    <t>34.0 t/ha</t>
  </si>
  <si>
    <t>35.0 t/ha</t>
  </si>
  <si>
    <t>28.0 t/ha</t>
  </si>
  <si>
    <t>26.0 t/ha</t>
  </si>
  <si>
    <t>21.0 t/ha</t>
  </si>
  <si>
    <t>14.0 t/ha</t>
  </si>
  <si>
    <t>11.0 t/ha</t>
  </si>
  <si>
    <t>7.0 t/ha</t>
  </si>
  <si>
    <t>5.5.0 t/ha</t>
  </si>
  <si>
    <t>10.0 t/ha</t>
  </si>
  <si>
    <t>8.0 t/ha</t>
  </si>
  <si>
    <r>
      <t>52.0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>/ha</t>
    </r>
  </si>
  <si>
    <r>
      <t>42.0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>/ha</t>
    </r>
  </si>
  <si>
    <r>
      <t>34.0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>/ha</t>
    </r>
  </si>
  <si>
    <t>Postotak N, P i K u gnoju i najveća dopuštena količina primjene:</t>
  </si>
  <si>
    <t>Polj. površina (ha):</t>
  </si>
  <si>
    <t>Min. površina (ha):</t>
  </si>
  <si>
    <t>Rasplodni bikovi</t>
  </si>
  <si>
    <t>-</t>
  </si>
  <si>
    <t>Kunići i penata divljač</t>
  </si>
  <si>
    <t>N u  gnoju
(kg/UG/god.)</t>
  </si>
  <si>
    <t>Kunići i pernata divljač</t>
  </si>
  <si>
    <r>
      <t>Veličina spremnika za stajski gnoj prema vrsti domaće životinje i obliku stajskog gnoja, za šestomjesečno razdoblje prikupljanja, u m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</si>
  <si>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t>Domaća životinja</t>
  </si>
  <si>
    <t>Kruti stajski gnoj</t>
  </si>
  <si>
    <t>Odrasla goveda &gt;24 mj.</t>
  </si>
  <si>
    <t>Goveda 12-24 mj.</t>
  </si>
  <si>
    <t>Goveda 6-12 mj.</t>
  </si>
  <si>
    <t>Telad</t>
  </si>
  <si>
    <t>Konji</t>
  </si>
  <si>
    <t>Ždrebad</t>
  </si>
  <si>
    <t>Odojci</t>
  </si>
  <si>
    <t>Kokoši i neslice</t>
  </si>
  <si>
    <t>Tovni pilići</t>
  </si>
  <si>
    <t>Kunići pernata divljač</t>
  </si>
  <si>
    <t>h = 2 m</t>
  </si>
  <si>
    <t>Min. površina
ha</t>
  </si>
  <si>
    <r>
      <t>Bazen min. m</t>
    </r>
    <r>
      <rPr>
        <b/>
        <vertAlign val="superscript"/>
        <sz val="14"/>
        <color theme="1"/>
        <rFont val="Calibri"/>
        <family val="2"/>
        <charset val="238"/>
        <scheme val="minor"/>
      </rPr>
      <t>3</t>
    </r>
    <r>
      <rPr>
        <b/>
        <sz val="14"/>
        <color theme="1"/>
        <rFont val="Calibri"/>
        <family val="2"/>
        <charset val="238"/>
        <scheme val="minor"/>
      </rPr>
      <t xml:space="preserve"> za 6. mj.</t>
    </r>
  </si>
  <si>
    <t>Janjad i jarad</t>
  </si>
  <si>
    <t>Krmače i nerasti</t>
  </si>
  <si>
    <t>Tovne svinje (25-130 kg)</t>
  </si>
  <si>
    <t>Brojke unosite usključivo u žuto obojene ćelije!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</si>
</sst>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4" fillId="0" borderId="3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/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4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3" fillId="0" borderId="35" xfId="0" quotePrefix="1" applyNumberFormat="1" applyFont="1" applyBorder="1" applyAlignment="1">
      <alignment horizontal="center" vertical="center"/>
    </xf>
    <xf numFmtId="0" fontId="1" fillId="0" borderId="13" xfId="0" applyFont="1" applyBorder="1"/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53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54" xfId="0" applyNumberFormat="1" applyFont="1" applyBorder="1" applyAlignment="1">
      <alignment horizontal="center" vertical="center"/>
    </xf>
    <xf numFmtId="2" fontId="4" fillId="0" borderId="55" xfId="0" applyNumberFormat="1" applyFont="1" applyBorder="1" applyAlignment="1">
      <alignment horizontal="center" vertical="center"/>
    </xf>
    <xf numFmtId="2" fontId="8" fillId="0" borderId="56" xfId="0" applyNumberFormat="1" applyFont="1" applyBorder="1" applyAlignment="1">
      <alignment horizontal="center" vertical="center"/>
    </xf>
    <xf numFmtId="1" fontId="4" fillId="2" borderId="43" xfId="0" applyNumberFormat="1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/>
    </xf>
    <xf numFmtId="1" fontId="4" fillId="2" borderId="45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2" fontId="4" fillId="0" borderId="5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4" fillId="0" borderId="43" xfId="0" applyNumberFormat="1" applyFont="1" applyBorder="1" applyAlignment="1">
      <alignment horizontal="center" vertical="center"/>
    </xf>
    <xf numFmtId="165" fontId="4" fillId="0" borderId="44" xfId="0" applyNumberFormat="1" applyFont="1" applyBorder="1" applyAlignment="1">
      <alignment horizontal="center" vertical="center"/>
    </xf>
    <xf numFmtId="165" fontId="4" fillId="0" borderId="4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5" fontId="4" fillId="0" borderId="47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/>
    </xf>
    <xf numFmtId="166" fontId="1" fillId="0" borderId="28" xfId="0" applyNumberFormat="1" applyFont="1" applyBorder="1" applyAlignment="1">
      <alignment horizontal="center"/>
    </xf>
    <xf numFmtId="166" fontId="1" fillId="0" borderId="27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166" fontId="1" fillId="0" borderId="44" xfId="0" applyNumberFormat="1" applyFont="1" applyBorder="1" applyAlignment="1">
      <alignment horizontal="center"/>
    </xf>
    <xf numFmtId="166" fontId="1" fillId="0" borderId="45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166" fontId="1" fillId="0" borderId="53" xfId="0" applyNumberFormat="1" applyFont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54" xfId="0" applyFont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2" fillId="0" borderId="56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7" xfId="0" applyFont="1" applyBorder="1"/>
    <xf numFmtId="0" fontId="1" fillId="0" borderId="55" xfId="0" applyFon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2" fontId="1" fillId="0" borderId="63" xfId="0" applyNumberFormat="1" applyFont="1" applyBorder="1" applyAlignment="1">
      <alignment horizontal="center"/>
    </xf>
    <xf numFmtId="0" fontId="1" fillId="0" borderId="43" xfId="0" applyFont="1" applyBorder="1"/>
    <xf numFmtId="0" fontId="1" fillId="0" borderId="52" xfId="0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47" xfId="0" quotePrefix="1" applyFont="1" applyBorder="1" applyAlignment="1">
      <alignment horizontal="left"/>
    </xf>
    <xf numFmtId="166" fontId="1" fillId="0" borderId="54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166" fontId="1" fillId="0" borderId="30" xfId="0" applyNumberFormat="1" applyFont="1" applyBorder="1" applyAlignment="1">
      <alignment horizontal="center"/>
    </xf>
    <xf numFmtId="0" fontId="1" fillId="0" borderId="43" xfId="0" quotePrefix="1" applyFont="1" applyBorder="1" applyAlignment="1">
      <alignment horizontal="left"/>
    </xf>
    <xf numFmtId="0" fontId="1" fillId="0" borderId="44" xfId="0" quotePrefix="1" applyFont="1" applyBorder="1" applyAlignment="1">
      <alignment horizontal="left"/>
    </xf>
    <xf numFmtId="2" fontId="3" fillId="2" borderId="3" xfId="0" applyNumberFormat="1" applyFont="1" applyFill="1" applyBorder="1" applyAlignment="1">
      <alignment horizontal="right" vertical="center" indent="1"/>
    </xf>
    <xf numFmtId="2" fontId="14" fillId="0" borderId="8" xfId="0" applyNumberFormat="1" applyFont="1" applyBorder="1" applyAlignment="1">
      <alignment horizontal="right" vertical="center" indent="1"/>
    </xf>
    <xf numFmtId="164" fontId="1" fillId="0" borderId="19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1" xfId="0" applyNumberFormat="1" applyFont="1" applyBorder="1" applyAlignment="1">
      <alignment horizontal="left" vertical="center"/>
    </xf>
    <xf numFmtId="2" fontId="1" fillId="0" borderId="48" xfId="0" applyNumberFormat="1" applyFont="1" applyBorder="1" applyAlignment="1">
      <alignment horizontal="left" vertical="center"/>
    </xf>
    <xf numFmtId="2" fontId="1" fillId="0" borderId="36" xfId="0" applyNumberFormat="1" applyFont="1" applyBorder="1" applyAlignment="1">
      <alignment horizontal="left" vertical="center"/>
    </xf>
    <xf numFmtId="164" fontId="1" fillId="0" borderId="50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49" fontId="3" fillId="0" borderId="6" xfId="0" quotePrefix="1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2" fontId="4" fillId="0" borderId="57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/>
    </xf>
    <xf numFmtId="2" fontId="4" fillId="0" borderId="49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43" xfId="0" quotePrefix="1" applyNumberFormat="1" applyFont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left" vertical="center"/>
    </xf>
    <xf numFmtId="2" fontId="3" fillId="0" borderId="56" xfId="0" applyNumberFormat="1" applyFont="1" applyBorder="1" applyAlignment="1">
      <alignment horizontal="left" vertical="center"/>
    </xf>
    <xf numFmtId="2" fontId="3" fillId="0" borderId="25" xfId="0" applyNumberFormat="1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 wrapText="1"/>
    </xf>
    <xf numFmtId="2" fontId="5" fillId="0" borderId="51" xfId="0" quotePrefix="1" applyNumberFormat="1" applyFont="1" applyBorder="1" applyAlignment="1">
      <alignment horizontal="center" vertical="center" wrapText="1"/>
    </xf>
    <xf numFmtId="2" fontId="5" fillId="0" borderId="48" xfId="0" quotePrefix="1" applyNumberFormat="1" applyFont="1" applyBorder="1" applyAlignment="1">
      <alignment horizontal="center" vertical="center" wrapText="1"/>
    </xf>
    <xf numFmtId="2" fontId="5" fillId="0" borderId="59" xfId="0" applyNumberFormat="1" applyFont="1" applyBorder="1" applyAlignment="1">
      <alignment horizontal="center" vertical="center" wrapText="1"/>
    </xf>
    <xf numFmtId="2" fontId="5" fillId="0" borderId="60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2" fontId="2" fillId="0" borderId="50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2" fillId="0" borderId="48" xfId="0" applyNumberFormat="1" applyFont="1" applyBorder="1" applyAlignment="1">
      <alignment horizontal="center" vertical="center"/>
    </xf>
    <xf numFmtId="2" fontId="15" fillId="0" borderId="64" xfId="0" applyNumberFormat="1" applyFont="1" applyBorder="1" applyAlignment="1">
      <alignment horizontal="left"/>
    </xf>
    <xf numFmtId="2" fontId="15" fillId="0" borderId="21" xfId="0" applyNumberFormat="1" applyFont="1" applyBorder="1" applyAlignment="1">
      <alignment horizontal="left"/>
    </xf>
  </cellXfs>
  <cellStyles count="1">
    <cellStyle name="Normalno" xfId="0" builtinId="0"/>
  </cellStyles>
  <dxfs count="3">
    <dxf>
      <font>
        <color rgb="FFFFFF00"/>
      </font>
      <fill>
        <patternFill>
          <bgColor rgb="FFFF0000"/>
        </patternFill>
      </fill>
    </dxf>
    <dxf>
      <font>
        <color rgb="FF006600"/>
      </font>
      <fill>
        <patternFill>
          <bgColor rgb="FF00FFCC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zoomScale="75" zoomScaleNormal="75" workbookViewId="0"/>
  </sheetViews>
  <sheetFormatPr defaultRowHeight="15.75" x14ac:dyDescent="0.25"/>
  <cols>
    <col min="1" max="1" width="27.7109375" style="1" customWidth="1"/>
    <col min="2" max="2" width="18.7109375" style="2" customWidth="1"/>
    <col min="3" max="7" width="18.7109375" style="3" customWidth="1"/>
    <col min="8" max="9" width="18.7109375" style="2" customWidth="1"/>
    <col min="10" max="12" width="18.7109375" style="1" customWidth="1"/>
    <col min="13" max="14" width="18.7109375" style="2" customWidth="1"/>
    <col min="15" max="16384" width="9.140625" style="1"/>
  </cols>
  <sheetData>
    <row r="1" spans="1:10" ht="20.100000000000001" customHeight="1" thickBot="1" x14ac:dyDescent="0.3">
      <c r="A1" s="38" t="s">
        <v>58</v>
      </c>
      <c r="B1" s="119">
        <v>50</v>
      </c>
      <c r="C1" s="178" t="s">
        <v>84</v>
      </c>
      <c r="D1" s="179"/>
      <c r="E1" s="179"/>
    </row>
    <row r="2" spans="1:10" ht="20.100000000000001" customHeight="1" thickBot="1" x14ac:dyDescent="0.3">
      <c r="A2" s="96" t="s">
        <v>59</v>
      </c>
      <c r="B2" s="120">
        <f>E20</f>
        <v>2.2299999999999995</v>
      </c>
      <c r="C2" s="162" t="str">
        <f>IF(B1&lt;E20,"Nedovoljna poljoprivredna površina!","Poljoprivredna površina zadovoljava!")</f>
        <v>Poljoprivredna površina zadovoljava!</v>
      </c>
      <c r="D2" s="163"/>
      <c r="E2" s="164"/>
    </row>
    <row r="3" spans="1:10" ht="16.5" thickBot="1" x14ac:dyDescent="0.3">
      <c r="A3" s="9"/>
      <c r="B3" s="6"/>
      <c r="F3" s="39"/>
      <c r="G3" s="39"/>
      <c r="H3" s="40"/>
      <c r="I3" s="40"/>
    </row>
    <row r="4" spans="1:10" ht="15.75" customHeight="1" x14ac:dyDescent="0.25">
      <c r="A4" s="141" t="s">
        <v>0</v>
      </c>
      <c r="B4" s="143" t="s">
        <v>1</v>
      </c>
      <c r="C4" s="145" t="s">
        <v>4</v>
      </c>
      <c r="D4" s="147" t="s">
        <v>3</v>
      </c>
      <c r="E4" s="149" t="s">
        <v>79</v>
      </c>
      <c r="F4" s="64" t="s">
        <v>5</v>
      </c>
      <c r="G4" s="41" t="s">
        <v>6</v>
      </c>
      <c r="H4" s="37" t="s">
        <v>7</v>
      </c>
    </row>
    <row r="5" spans="1:10" s="4" customFormat="1" ht="15.75" customHeight="1" thickBot="1" x14ac:dyDescent="0.3">
      <c r="A5" s="142"/>
      <c r="B5" s="144"/>
      <c r="C5" s="146"/>
      <c r="D5" s="148"/>
      <c r="E5" s="150"/>
      <c r="F5" s="43" t="s">
        <v>78</v>
      </c>
      <c r="G5" s="133" t="s">
        <v>80</v>
      </c>
      <c r="H5" s="134"/>
      <c r="I5" s="66"/>
      <c r="J5" s="42"/>
    </row>
    <row r="6" spans="1:10" x14ac:dyDescent="0.25">
      <c r="A6" s="15" t="s">
        <v>8</v>
      </c>
      <c r="B6" s="58">
        <v>1</v>
      </c>
      <c r="C6" s="31">
        <f>B6*1</f>
        <v>1</v>
      </c>
      <c r="D6" s="51">
        <f>C6*70</f>
        <v>70</v>
      </c>
      <c r="E6" s="31">
        <f>ROUND(D6/170,2)</f>
        <v>0.41</v>
      </c>
      <c r="F6" s="51">
        <f>ROUND(B6*7,2)</f>
        <v>7</v>
      </c>
      <c r="G6" s="21">
        <f>ROUND(B6*7.1,2)</f>
        <v>7.1</v>
      </c>
      <c r="H6" s="45">
        <f>ROUND(B6*3.5,2)</f>
        <v>3.5</v>
      </c>
    </row>
    <row r="7" spans="1:10" x14ac:dyDescent="0.25">
      <c r="A7" s="16" t="s">
        <v>9</v>
      </c>
      <c r="B7" s="59">
        <v>1</v>
      </c>
      <c r="C7" s="32">
        <f>B7*0.6</f>
        <v>0.6</v>
      </c>
      <c r="D7" s="52">
        <f t="shared" ref="D7:D9" si="0">C7*70</f>
        <v>42</v>
      </c>
      <c r="E7" s="32">
        <f t="shared" ref="E7:E9" si="1">ROUND(D7/170,2)</f>
        <v>0.25</v>
      </c>
      <c r="F7" s="52">
        <f>ROUND(B7*4.2,2)</f>
        <v>4.2</v>
      </c>
      <c r="G7" s="22">
        <f>ROUND(B7*5.8,2)</f>
        <v>5.8</v>
      </c>
      <c r="H7" s="46">
        <f>ROUND(B7*2.9,2)</f>
        <v>2.9</v>
      </c>
    </row>
    <row r="8" spans="1:10" x14ac:dyDescent="0.25">
      <c r="A8" s="16" t="s">
        <v>10</v>
      </c>
      <c r="B8" s="59">
        <v>1</v>
      </c>
      <c r="C8" s="32">
        <f>B8*0.3</f>
        <v>0.3</v>
      </c>
      <c r="D8" s="52">
        <f t="shared" si="0"/>
        <v>21</v>
      </c>
      <c r="E8" s="32">
        <f t="shared" si="1"/>
        <v>0.12</v>
      </c>
      <c r="F8" s="52">
        <f>ROUND(B8*2.1,2)</f>
        <v>2.1</v>
      </c>
      <c r="G8" s="22">
        <f>ROUND(B8*2.3,2)</f>
        <v>2.2999999999999998</v>
      </c>
      <c r="H8" s="46">
        <f>ROUND(B8*1.2,2)</f>
        <v>1.2</v>
      </c>
    </row>
    <row r="9" spans="1:10" x14ac:dyDescent="0.25">
      <c r="A9" s="16" t="s">
        <v>11</v>
      </c>
      <c r="B9" s="59">
        <v>1</v>
      </c>
      <c r="C9" s="32">
        <f>B9*0.15</f>
        <v>0.15</v>
      </c>
      <c r="D9" s="52">
        <f t="shared" si="0"/>
        <v>10.5</v>
      </c>
      <c r="E9" s="32">
        <f t="shared" si="1"/>
        <v>0.06</v>
      </c>
      <c r="F9" s="52">
        <f>ROUND(B9*1,2)</f>
        <v>1</v>
      </c>
      <c r="G9" s="22">
        <f>ROUND(B9*1.2,2)</f>
        <v>1.2</v>
      </c>
      <c r="H9" s="46">
        <f>ROUND(B9*0.7,2)</f>
        <v>0.7</v>
      </c>
    </row>
    <row r="10" spans="1:10" ht="16.5" thickBot="1" x14ac:dyDescent="0.3">
      <c r="A10" s="44" t="s">
        <v>60</v>
      </c>
      <c r="B10" s="60">
        <v>1</v>
      </c>
      <c r="C10" s="33">
        <f>B10*1.4</f>
        <v>1.4</v>
      </c>
      <c r="D10" s="53">
        <f t="shared" ref="D10" si="2">C10*70</f>
        <v>98</v>
      </c>
      <c r="E10" s="33">
        <f t="shared" ref="E10" si="3">ROUND(D10/170,2)</f>
        <v>0.57999999999999996</v>
      </c>
      <c r="F10" s="53">
        <f>ROUND(B10*7,2)</f>
        <v>7</v>
      </c>
      <c r="G10" s="23">
        <f>ROUND(B10*7.1,2)</f>
        <v>7.1</v>
      </c>
      <c r="H10" s="47">
        <f>ROUND(B10*3.5,2)</f>
        <v>3.5</v>
      </c>
    </row>
    <row r="11" spans="1:10" x14ac:dyDescent="0.25">
      <c r="A11" s="15" t="s">
        <v>12</v>
      </c>
      <c r="B11" s="58">
        <v>1</v>
      </c>
      <c r="C11" s="31">
        <f>B11*1</f>
        <v>1</v>
      </c>
      <c r="D11" s="51">
        <f>C11*60</f>
        <v>60</v>
      </c>
      <c r="E11" s="31">
        <f t="shared" ref="E11:E19" si="4">ROUND(D11/170,2)</f>
        <v>0.35</v>
      </c>
      <c r="F11" s="55">
        <f>ROUND(B11*7,2)</f>
        <v>7</v>
      </c>
      <c r="G11" s="21" t="s">
        <v>61</v>
      </c>
      <c r="H11" s="45" t="s">
        <v>61</v>
      </c>
    </row>
    <row r="12" spans="1:10" ht="16.5" thickBot="1" x14ac:dyDescent="0.3">
      <c r="A12" s="17" t="s">
        <v>13</v>
      </c>
      <c r="B12" s="61">
        <v>1</v>
      </c>
      <c r="C12" s="33">
        <f>B12*0.5</f>
        <v>0.5</v>
      </c>
      <c r="D12" s="53">
        <f>C12*60</f>
        <v>30</v>
      </c>
      <c r="E12" s="33">
        <f t="shared" si="4"/>
        <v>0.18</v>
      </c>
      <c r="F12" s="56">
        <f>ROUND(B12*3.5,2)</f>
        <v>3.5</v>
      </c>
      <c r="G12" s="23" t="s">
        <v>61</v>
      </c>
      <c r="H12" s="47" t="s">
        <v>61</v>
      </c>
    </row>
    <row r="13" spans="1:10" ht="16.5" thickBot="1" x14ac:dyDescent="0.3">
      <c r="A13" s="18" t="s">
        <v>14</v>
      </c>
      <c r="B13" s="62">
        <v>1</v>
      </c>
      <c r="C13" s="34">
        <f>B13*0.15</f>
        <v>0.15</v>
      </c>
      <c r="D13" s="54">
        <f>C13*70</f>
        <v>10.5</v>
      </c>
      <c r="E13" s="34">
        <f t="shared" si="4"/>
        <v>0.06</v>
      </c>
      <c r="F13" s="65">
        <f>ROUND(B13*1,2)</f>
        <v>1</v>
      </c>
      <c r="G13" s="24" t="s">
        <v>61</v>
      </c>
      <c r="H13" s="48" t="s">
        <v>61</v>
      </c>
    </row>
    <row r="14" spans="1:10" x14ac:dyDescent="0.25">
      <c r="A14" s="15" t="s">
        <v>15</v>
      </c>
      <c r="B14" s="58">
        <v>1</v>
      </c>
      <c r="C14" s="31">
        <f>B14*0.3</f>
        <v>0.3</v>
      </c>
      <c r="D14" s="51">
        <f>C14*80</f>
        <v>24</v>
      </c>
      <c r="E14" s="31">
        <f t="shared" si="4"/>
        <v>0.14000000000000001</v>
      </c>
      <c r="F14" s="51">
        <f>ROUND(B14*1.73,2)</f>
        <v>1.73</v>
      </c>
      <c r="G14" s="21">
        <f>ROUND(B14*2.55,2)</f>
        <v>2.5499999999999998</v>
      </c>
      <c r="H14" s="45">
        <f>ROUND(B14*0.84,2)</f>
        <v>0.84</v>
      </c>
    </row>
    <row r="15" spans="1:10" ht="16.5" thickBot="1" x14ac:dyDescent="0.3">
      <c r="A15" s="17" t="s">
        <v>16</v>
      </c>
      <c r="B15" s="61">
        <v>1</v>
      </c>
      <c r="C15" s="33">
        <f t="shared" ref="C15" si="5">B15*0.15</f>
        <v>0.15</v>
      </c>
      <c r="D15" s="53">
        <f>C15*80</f>
        <v>12</v>
      </c>
      <c r="E15" s="33">
        <f t="shared" si="4"/>
        <v>7.0000000000000007E-2</v>
      </c>
      <c r="F15" s="53">
        <f>ROUND(B15*0.44,2)</f>
        <v>0.44</v>
      </c>
      <c r="G15" s="23">
        <f>ROUND(B15*0.64,2)</f>
        <v>0.64</v>
      </c>
      <c r="H15" s="47">
        <f>ROUND(B15*0.21,2)</f>
        <v>0.21</v>
      </c>
    </row>
    <row r="16" spans="1:10" x14ac:dyDescent="0.25">
      <c r="A16" s="15" t="s">
        <v>17</v>
      </c>
      <c r="B16" s="58">
        <v>1</v>
      </c>
      <c r="C16" s="31">
        <f>B16*0.004</f>
        <v>4.0000000000000001E-3</v>
      </c>
      <c r="D16" s="51">
        <f>C16*85</f>
        <v>0.34</v>
      </c>
      <c r="E16" s="31">
        <f t="shared" si="4"/>
        <v>0</v>
      </c>
      <c r="F16" s="51">
        <f>ROUND(B16*0.016,2)</f>
        <v>0.02</v>
      </c>
      <c r="G16" s="21">
        <f>ROUND(B16*0.032,2)</f>
        <v>0.03</v>
      </c>
      <c r="H16" s="45" t="s">
        <v>61</v>
      </c>
    </row>
    <row r="17" spans="1:10" x14ac:dyDescent="0.25">
      <c r="A17" s="16" t="s">
        <v>2</v>
      </c>
      <c r="B17" s="59">
        <v>1</v>
      </c>
      <c r="C17" s="32">
        <f>B17*0.0025</f>
        <v>2.5000000000000001E-3</v>
      </c>
      <c r="D17" s="52">
        <f>C17*85</f>
        <v>0.21249999999999999</v>
      </c>
      <c r="E17" s="32">
        <f t="shared" si="4"/>
        <v>0</v>
      </c>
      <c r="F17" s="52">
        <f>ROUND(B17*0.006,2)</f>
        <v>0.01</v>
      </c>
      <c r="G17" s="22" t="s">
        <v>61</v>
      </c>
      <c r="H17" s="46" t="s">
        <v>61</v>
      </c>
    </row>
    <row r="18" spans="1:10" x14ac:dyDescent="0.25">
      <c r="A18" s="16" t="s">
        <v>18</v>
      </c>
      <c r="B18" s="59">
        <v>1</v>
      </c>
      <c r="C18" s="32">
        <f>B18*0.02</f>
        <v>0.02</v>
      </c>
      <c r="D18" s="52">
        <f>C18*85</f>
        <v>1.7</v>
      </c>
      <c r="E18" s="32">
        <f t="shared" si="4"/>
        <v>0.01</v>
      </c>
      <c r="F18" s="52">
        <f>ROUND(B18*0.03,2)</f>
        <v>0.03</v>
      </c>
      <c r="G18" s="22" t="s">
        <v>61</v>
      </c>
      <c r="H18" s="46" t="s">
        <v>61</v>
      </c>
    </row>
    <row r="19" spans="1:10" ht="16.5" thickBot="1" x14ac:dyDescent="0.3">
      <c r="A19" s="44" t="s">
        <v>62</v>
      </c>
      <c r="B19" s="60">
        <v>1</v>
      </c>
      <c r="C19" s="67">
        <f>B19*0.002</f>
        <v>2E-3</v>
      </c>
      <c r="D19" s="68">
        <f>C19*85</f>
        <v>0.17</v>
      </c>
      <c r="E19" s="67">
        <f t="shared" si="4"/>
        <v>0</v>
      </c>
      <c r="F19" s="68">
        <f>ROUND(B19*0.042,2)</f>
        <v>0.04</v>
      </c>
      <c r="G19" s="69" t="s">
        <v>61</v>
      </c>
      <c r="H19" s="70" t="s">
        <v>61</v>
      </c>
      <c r="I19" s="8"/>
      <c r="J19" s="8"/>
    </row>
    <row r="20" spans="1:10" ht="19.5" thickBot="1" x14ac:dyDescent="0.3">
      <c r="A20" s="35" t="s">
        <v>19</v>
      </c>
      <c r="B20" s="63">
        <f t="shared" ref="B20:H20" si="6">SUM(B6:B19)</f>
        <v>14</v>
      </c>
      <c r="C20" s="36">
        <f t="shared" si="6"/>
        <v>5.5785</v>
      </c>
      <c r="D20" s="57">
        <f t="shared" si="6"/>
        <v>380.42249999999996</v>
      </c>
      <c r="E20" s="36">
        <f t="shared" si="6"/>
        <v>2.2299999999999995</v>
      </c>
      <c r="F20" s="57">
        <f t="shared" si="6"/>
        <v>35.069999999999993</v>
      </c>
      <c r="G20" s="49">
        <f t="shared" si="6"/>
        <v>26.720000000000002</v>
      </c>
      <c r="H20" s="50">
        <f t="shared" si="6"/>
        <v>12.850000000000001</v>
      </c>
    </row>
    <row r="22" spans="1:10" ht="15.75" customHeight="1" x14ac:dyDescent="0.25"/>
    <row r="24" spans="1:10" ht="16.5" thickBot="1" x14ac:dyDescent="0.3">
      <c r="A24" s="9" t="s">
        <v>22</v>
      </c>
      <c r="B24" s="74"/>
      <c r="C24" s="75"/>
      <c r="D24" s="75"/>
    </row>
    <row r="25" spans="1:10" x14ac:dyDescent="0.25">
      <c r="A25" s="172" t="s">
        <v>0</v>
      </c>
      <c r="B25" s="170" t="s">
        <v>20</v>
      </c>
      <c r="C25" s="166" t="s">
        <v>63</v>
      </c>
      <c r="D25" s="168" t="s">
        <v>21</v>
      </c>
    </row>
    <row r="26" spans="1:10" ht="16.5" thickBot="1" x14ac:dyDescent="0.3">
      <c r="A26" s="173"/>
      <c r="B26" s="171"/>
      <c r="C26" s="167"/>
      <c r="D26" s="169"/>
    </row>
    <row r="27" spans="1:10" x14ac:dyDescent="0.25">
      <c r="A27" s="15" t="s">
        <v>8</v>
      </c>
      <c r="B27" s="31">
        <v>1</v>
      </c>
      <c r="C27" s="135">
        <v>70</v>
      </c>
      <c r="D27" s="138">
        <v>2.4</v>
      </c>
    </row>
    <row r="28" spans="1:10" x14ac:dyDescent="0.25">
      <c r="A28" s="16" t="s">
        <v>9</v>
      </c>
      <c r="B28" s="32">
        <v>0.6</v>
      </c>
      <c r="C28" s="136"/>
      <c r="D28" s="139"/>
    </row>
    <row r="29" spans="1:10" x14ac:dyDescent="0.25">
      <c r="A29" s="16" t="s">
        <v>10</v>
      </c>
      <c r="B29" s="32">
        <v>0.3</v>
      </c>
      <c r="C29" s="136"/>
      <c r="D29" s="139"/>
    </row>
    <row r="30" spans="1:10" x14ac:dyDescent="0.25">
      <c r="A30" s="16" t="s">
        <v>11</v>
      </c>
      <c r="B30" s="32">
        <v>0.15</v>
      </c>
      <c r="C30" s="136"/>
      <c r="D30" s="139"/>
    </row>
    <row r="31" spans="1:10" ht="16.5" thickBot="1" x14ac:dyDescent="0.3">
      <c r="A31" s="44" t="s">
        <v>60</v>
      </c>
      <c r="B31" s="67">
        <v>1.4</v>
      </c>
      <c r="C31" s="137"/>
      <c r="D31" s="140"/>
    </row>
    <row r="32" spans="1:10" x14ac:dyDescent="0.25">
      <c r="A32" s="15" t="s">
        <v>12</v>
      </c>
      <c r="B32" s="31">
        <v>1</v>
      </c>
      <c r="C32" s="135">
        <v>60</v>
      </c>
      <c r="D32" s="138">
        <v>2.8</v>
      </c>
    </row>
    <row r="33" spans="1:9" ht="16.5" thickBot="1" x14ac:dyDescent="0.3">
      <c r="A33" s="17" t="s">
        <v>13</v>
      </c>
      <c r="B33" s="33">
        <v>0.5</v>
      </c>
      <c r="C33" s="137"/>
      <c r="D33" s="140"/>
    </row>
    <row r="34" spans="1:9" ht="16.5" thickBot="1" x14ac:dyDescent="0.3">
      <c r="A34" s="18" t="s">
        <v>14</v>
      </c>
      <c r="B34" s="34">
        <v>0.15</v>
      </c>
      <c r="C34" s="7">
        <v>70</v>
      </c>
      <c r="D34" s="19">
        <v>2.4</v>
      </c>
    </row>
    <row r="35" spans="1:9" x14ac:dyDescent="0.25">
      <c r="A35" s="15" t="s">
        <v>15</v>
      </c>
      <c r="B35" s="31">
        <v>0.3</v>
      </c>
      <c r="C35" s="135">
        <v>80</v>
      </c>
      <c r="D35" s="138">
        <v>2.1</v>
      </c>
    </row>
    <row r="36" spans="1:9" ht="16.5" thickBot="1" x14ac:dyDescent="0.3">
      <c r="A36" s="17" t="s">
        <v>16</v>
      </c>
      <c r="B36" s="33">
        <v>0.15</v>
      </c>
      <c r="C36" s="137"/>
      <c r="D36" s="140"/>
    </row>
    <row r="37" spans="1:9" x14ac:dyDescent="0.25">
      <c r="A37" s="20" t="s">
        <v>17</v>
      </c>
      <c r="B37" s="71">
        <v>4.0000000000000001E-3</v>
      </c>
      <c r="C37" s="135">
        <v>85</v>
      </c>
      <c r="D37" s="138">
        <v>2</v>
      </c>
    </row>
    <row r="38" spans="1:9" x14ac:dyDescent="0.25">
      <c r="A38" s="16" t="s">
        <v>2</v>
      </c>
      <c r="B38" s="72">
        <v>2.5000000000000001E-3</v>
      </c>
      <c r="C38" s="136"/>
      <c r="D38" s="139"/>
    </row>
    <row r="39" spans="1:9" x14ac:dyDescent="0.25">
      <c r="A39" s="30" t="s">
        <v>18</v>
      </c>
      <c r="B39" s="76">
        <v>0.02</v>
      </c>
      <c r="C39" s="136"/>
      <c r="D39" s="139"/>
    </row>
    <row r="40" spans="1:9" ht="15.75" customHeight="1" thickBot="1" x14ac:dyDescent="0.3">
      <c r="A40" s="17" t="s">
        <v>64</v>
      </c>
      <c r="B40" s="73">
        <v>2E-3</v>
      </c>
      <c r="C40" s="137"/>
      <c r="D40" s="140"/>
    </row>
    <row r="42" spans="1:9" ht="16.5" thickBot="1" x14ac:dyDescent="0.3">
      <c r="A42" s="14" t="s">
        <v>57</v>
      </c>
      <c r="B42" s="4"/>
      <c r="C42" s="5"/>
    </row>
    <row r="43" spans="1:9" ht="15.75" customHeight="1" x14ac:dyDescent="0.25">
      <c r="A43" s="176" t="s">
        <v>30</v>
      </c>
      <c r="B43" s="174" t="s">
        <v>31</v>
      </c>
      <c r="C43" s="160" t="s">
        <v>38</v>
      </c>
      <c r="D43" s="158" t="s">
        <v>39</v>
      </c>
      <c r="E43" s="154" t="s">
        <v>37</v>
      </c>
      <c r="F43" s="156" t="s">
        <v>36</v>
      </c>
      <c r="G43" s="151" t="s">
        <v>35</v>
      </c>
      <c r="H43" s="152"/>
      <c r="I43" s="153"/>
    </row>
    <row r="44" spans="1:9" ht="19.5" thickBot="1" x14ac:dyDescent="0.4">
      <c r="A44" s="177"/>
      <c r="B44" s="175"/>
      <c r="C44" s="161"/>
      <c r="D44" s="159"/>
      <c r="E44" s="155"/>
      <c r="F44" s="157"/>
      <c r="G44" s="10" t="s">
        <v>23</v>
      </c>
      <c r="H44" s="11" t="s">
        <v>40</v>
      </c>
      <c r="I44" s="12" t="s">
        <v>41</v>
      </c>
    </row>
    <row r="45" spans="1:9" x14ac:dyDescent="0.25">
      <c r="A45" s="127" t="s">
        <v>24</v>
      </c>
      <c r="B45" s="130">
        <v>0.5</v>
      </c>
      <c r="C45" s="131">
        <v>0.3</v>
      </c>
      <c r="D45" s="132">
        <v>0.5</v>
      </c>
      <c r="E45" s="97">
        <v>210</v>
      </c>
      <c r="F45" s="98" t="s">
        <v>42</v>
      </c>
      <c r="G45" s="97">
        <v>210</v>
      </c>
      <c r="H45" s="99">
        <v>126</v>
      </c>
      <c r="I45" s="98">
        <v>210</v>
      </c>
    </row>
    <row r="46" spans="1:9" ht="16.5" thickBot="1" x14ac:dyDescent="0.3">
      <c r="A46" s="128"/>
      <c r="B46" s="122"/>
      <c r="C46" s="124"/>
      <c r="D46" s="126"/>
      <c r="E46" s="28">
        <v>170</v>
      </c>
      <c r="F46" s="29" t="s">
        <v>43</v>
      </c>
      <c r="G46" s="28">
        <v>170</v>
      </c>
      <c r="H46" s="13">
        <v>102</v>
      </c>
      <c r="I46" s="29">
        <v>170</v>
      </c>
    </row>
    <row r="47" spans="1:9" x14ac:dyDescent="0.25">
      <c r="A47" s="129" t="s">
        <v>25</v>
      </c>
      <c r="B47" s="121">
        <v>0.6</v>
      </c>
      <c r="C47" s="123">
        <v>0.3</v>
      </c>
      <c r="D47" s="125">
        <v>0.6</v>
      </c>
      <c r="E47" s="26">
        <v>210</v>
      </c>
      <c r="F47" s="27" t="s">
        <v>44</v>
      </c>
      <c r="G47" s="26">
        <v>210</v>
      </c>
      <c r="H47" s="25">
        <v>105</v>
      </c>
      <c r="I47" s="27">
        <v>210</v>
      </c>
    </row>
    <row r="48" spans="1:9" ht="16.5" thickBot="1" x14ac:dyDescent="0.3">
      <c r="A48" s="129"/>
      <c r="B48" s="121"/>
      <c r="C48" s="123"/>
      <c r="D48" s="125"/>
      <c r="E48" s="100">
        <v>170</v>
      </c>
      <c r="F48" s="101" t="s">
        <v>45</v>
      </c>
      <c r="G48" s="100">
        <v>170</v>
      </c>
      <c r="H48" s="102">
        <v>85</v>
      </c>
      <c r="I48" s="101">
        <v>170</v>
      </c>
    </row>
    <row r="49" spans="1:9" x14ac:dyDescent="0.25">
      <c r="A49" s="127" t="s">
        <v>26</v>
      </c>
      <c r="B49" s="130">
        <v>0.8</v>
      </c>
      <c r="C49" s="131">
        <v>0.5</v>
      </c>
      <c r="D49" s="132">
        <v>0.8</v>
      </c>
      <c r="E49" s="97">
        <v>210</v>
      </c>
      <c r="F49" s="98" t="s">
        <v>46</v>
      </c>
      <c r="G49" s="97">
        <v>210</v>
      </c>
      <c r="H49" s="99">
        <v>130</v>
      </c>
      <c r="I49" s="98">
        <v>210</v>
      </c>
    </row>
    <row r="50" spans="1:9" ht="16.5" thickBot="1" x14ac:dyDescent="0.3">
      <c r="A50" s="128"/>
      <c r="B50" s="122"/>
      <c r="C50" s="124"/>
      <c r="D50" s="126"/>
      <c r="E50" s="28">
        <v>170</v>
      </c>
      <c r="F50" s="29" t="s">
        <v>47</v>
      </c>
      <c r="G50" s="28">
        <v>170</v>
      </c>
      <c r="H50" s="13">
        <v>106</v>
      </c>
      <c r="I50" s="29">
        <v>170</v>
      </c>
    </row>
    <row r="51" spans="1:9" x14ac:dyDescent="0.25">
      <c r="A51" s="129" t="s">
        <v>27</v>
      </c>
      <c r="B51" s="121">
        <v>0.6</v>
      </c>
      <c r="C51" s="123">
        <v>0.5</v>
      </c>
      <c r="D51" s="125">
        <v>0.4</v>
      </c>
      <c r="E51" s="26">
        <v>210</v>
      </c>
      <c r="F51" s="27" t="s">
        <v>44</v>
      </c>
      <c r="G51" s="26">
        <v>210</v>
      </c>
      <c r="H51" s="25">
        <v>175</v>
      </c>
      <c r="I51" s="27">
        <v>140</v>
      </c>
    </row>
    <row r="52" spans="1:9" ht="16.5" thickBot="1" x14ac:dyDescent="0.3">
      <c r="A52" s="129"/>
      <c r="B52" s="121"/>
      <c r="C52" s="123"/>
      <c r="D52" s="125"/>
      <c r="E52" s="100">
        <v>170</v>
      </c>
      <c r="F52" s="101" t="s">
        <v>45</v>
      </c>
      <c r="G52" s="100">
        <v>170</v>
      </c>
      <c r="H52" s="102">
        <v>142</v>
      </c>
      <c r="I52" s="101">
        <v>113</v>
      </c>
    </row>
    <row r="53" spans="1:9" x14ac:dyDescent="0.25">
      <c r="A53" s="127" t="s">
        <v>28</v>
      </c>
      <c r="B53" s="130">
        <v>1.5</v>
      </c>
      <c r="C53" s="131">
        <v>1.3</v>
      </c>
      <c r="D53" s="132">
        <v>0.5</v>
      </c>
      <c r="E53" s="97">
        <v>210</v>
      </c>
      <c r="F53" s="98" t="s">
        <v>48</v>
      </c>
      <c r="G53" s="97">
        <v>210</v>
      </c>
      <c r="H53" s="99">
        <v>182</v>
      </c>
      <c r="I53" s="98">
        <v>70</v>
      </c>
    </row>
    <row r="54" spans="1:9" ht="16.5" thickBot="1" x14ac:dyDescent="0.3">
      <c r="A54" s="128"/>
      <c r="B54" s="122"/>
      <c r="C54" s="124"/>
      <c r="D54" s="126"/>
      <c r="E54" s="28">
        <v>170</v>
      </c>
      <c r="F54" s="29" t="s">
        <v>49</v>
      </c>
      <c r="G54" s="28">
        <v>170</v>
      </c>
      <c r="H54" s="13">
        <v>147</v>
      </c>
      <c r="I54" s="29">
        <v>57</v>
      </c>
    </row>
    <row r="55" spans="1:9" x14ac:dyDescent="0.25">
      <c r="A55" s="129" t="s">
        <v>29</v>
      </c>
      <c r="B55" s="121">
        <v>3</v>
      </c>
      <c r="C55" s="123">
        <v>3</v>
      </c>
      <c r="D55" s="125">
        <v>2</v>
      </c>
      <c r="E55" s="26">
        <v>210</v>
      </c>
      <c r="F55" s="27" t="s">
        <v>50</v>
      </c>
      <c r="G55" s="26">
        <v>210</v>
      </c>
      <c r="H55" s="25">
        <v>210</v>
      </c>
      <c r="I55" s="27">
        <v>140</v>
      </c>
    </row>
    <row r="56" spans="1:9" ht="16.5" thickBot="1" x14ac:dyDescent="0.3">
      <c r="A56" s="129"/>
      <c r="B56" s="121"/>
      <c r="C56" s="123"/>
      <c r="D56" s="125"/>
      <c r="E56" s="100">
        <v>170</v>
      </c>
      <c r="F56" s="101" t="s">
        <v>51</v>
      </c>
      <c r="G56" s="100">
        <v>170</v>
      </c>
      <c r="H56" s="102">
        <v>170</v>
      </c>
      <c r="I56" s="101">
        <v>110</v>
      </c>
    </row>
    <row r="57" spans="1:9" x14ac:dyDescent="0.25">
      <c r="A57" s="127" t="s">
        <v>32</v>
      </c>
      <c r="B57" s="130">
        <v>2.1</v>
      </c>
      <c r="C57" s="131">
        <v>2.2000000000000002</v>
      </c>
      <c r="D57" s="132">
        <v>0.8</v>
      </c>
      <c r="E57" s="97">
        <v>210</v>
      </c>
      <c r="F57" s="98" t="s">
        <v>52</v>
      </c>
      <c r="G57" s="97">
        <v>210</v>
      </c>
      <c r="H57" s="99">
        <v>220</v>
      </c>
      <c r="I57" s="98">
        <v>80</v>
      </c>
    </row>
    <row r="58" spans="1:9" ht="16.5" thickBot="1" x14ac:dyDescent="0.3">
      <c r="A58" s="128"/>
      <c r="B58" s="122"/>
      <c r="C58" s="124"/>
      <c r="D58" s="126"/>
      <c r="E58" s="28">
        <v>170</v>
      </c>
      <c r="F58" s="29" t="s">
        <v>53</v>
      </c>
      <c r="G58" s="28">
        <v>170</v>
      </c>
      <c r="H58" s="13">
        <v>180</v>
      </c>
      <c r="I58" s="29">
        <v>65</v>
      </c>
    </row>
    <row r="59" spans="1:9" ht="18" x14ac:dyDescent="0.25">
      <c r="A59" s="127" t="s">
        <v>33</v>
      </c>
      <c r="B59" s="130">
        <v>0.4</v>
      </c>
      <c r="C59" s="131">
        <v>0.2</v>
      </c>
      <c r="D59" s="132">
        <v>0.5</v>
      </c>
      <c r="E59" s="97">
        <v>210</v>
      </c>
      <c r="F59" s="98" t="s">
        <v>54</v>
      </c>
      <c r="G59" s="97">
        <v>210</v>
      </c>
      <c r="H59" s="99">
        <v>104</v>
      </c>
      <c r="I59" s="98">
        <v>260</v>
      </c>
    </row>
    <row r="60" spans="1:9" ht="18.75" thickBot="1" x14ac:dyDescent="0.3">
      <c r="A60" s="128"/>
      <c r="B60" s="122"/>
      <c r="C60" s="124"/>
      <c r="D60" s="126"/>
      <c r="E60" s="28">
        <v>170</v>
      </c>
      <c r="F60" s="29" t="s">
        <v>55</v>
      </c>
      <c r="G60" s="28">
        <v>170</v>
      </c>
      <c r="H60" s="13">
        <v>85</v>
      </c>
      <c r="I60" s="29">
        <v>210</v>
      </c>
    </row>
    <row r="61" spans="1:9" ht="18" x14ac:dyDescent="0.25">
      <c r="A61" s="129" t="s">
        <v>34</v>
      </c>
      <c r="B61" s="121">
        <v>0.5</v>
      </c>
      <c r="C61" s="123">
        <v>0.4</v>
      </c>
      <c r="D61" s="125">
        <v>0.3</v>
      </c>
      <c r="E61" s="26">
        <v>210</v>
      </c>
      <c r="F61" s="27" t="s">
        <v>55</v>
      </c>
      <c r="G61" s="26">
        <v>210</v>
      </c>
      <c r="H61" s="25">
        <v>168</v>
      </c>
      <c r="I61" s="27">
        <v>126</v>
      </c>
    </row>
    <row r="62" spans="1:9" ht="15.75" customHeight="1" thickBot="1" x14ac:dyDescent="0.3">
      <c r="A62" s="128"/>
      <c r="B62" s="122"/>
      <c r="C62" s="124"/>
      <c r="D62" s="126"/>
      <c r="E62" s="28">
        <v>170</v>
      </c>
      <c r="F62" s="29" t="s">
        <v>56</v>
      </c>
      <c r="G62" s="28">
        <v>170</v>
      </c>
      <c r="H62" s="13">
        <v>136</v>
      </c>
      <c r="I62" s="29">
        <v>102</v>
      </c>
    </row>
    <row r="64" spans="1:9" x14ac:dyDescent="0.25">
      <c r="A64" s="165" t="s">
        <v>65</v>
      </c>
      <c r="B64" s="165"/>
      <c r="C64" s="165"/>
      <c r="D64" s="165"/>
    </row>
    <row r="65" spans="1:4" ht="16.5" thickBot="1" x14ac:dyDescent="0.3">
      <c r="A65" s="165"/>
      <c r="B65" s="165"/>
      <c r="C65" s="165"/>
      <c r="D65" s="165"/>
    </row>
    <row r="66" spans="1:4" ht="16.5" thickBot="1" x14ac:dyDescent="0.3">
      <c r="A66" s="92" t="s">
        <v>66</v>
      </c>
      <c r="B66" s="93" t="s">
        <v>6</v>
      </c>
      <c r="C66" s="94" t="s">
        <v>67</v>
      </c>
      <c r="D66" s="95" t="s">
        <v>7</v>
      </c>
    </row>
    <row r="67" spans="1:4" x14ac:dyDescent="0.25">
      <c r="A67" s="88" t="s">
        <v>68</v>
      </c>
      <c r="B67" s="89">
        <v>7.1</v>
      </c>
      <c r="C67" s="90">
        <v>7</v>
      </c>
      <c r="D67" s="91">
        <v>3.5</v>
      </c>
    </row>
    <row r="68" spans="1:4" x14ac:dyDescent="0.25">
      <c r="A68" s="86" t="s">
        <v>69</v>
      </c>
      <c r="B68" s="83">
        <v>5.8</v>
      </c>
      <c r="C68" s="80">
        <v>4.2</v>
      </c>
      <c r="D68" s="77">
        <v>2.9</v>
      </c>
    </row>
    <row r="69" spans="1:4" x14ac:dyDescent="0.25">
      <c r="A69" s="86" t="s">
        <v>70</v>
      </c>
      <c r="B69" s="83">
        <v>2.2999999999999998</v>
      </c>
      <c r="C69" s="80">
        <v>2.1</v>
      </c>
      <c r="D69" s="77">
        <v>1.2</v>
      </c>
    </row>
    <row r="70" spans="1:4" x14ac:dyDescent="0.25">
      <c r="A70" s="86" t="s">
        <v>60</v>
      </c>
      <c r="B70" s="83">
        <v>7.1</v>
      </c>
      <c r="C70" s="80">
        <v>7</v>
      </c>
      <c r="D70" s="77">
        <v>3.5</v>
      </c>
    </row>
    <row r="71" spans="1:4" ht="16.5" thickBot="1" x14ac:dyDescent="0.3">
      <c r="A71" s="103" t="s">
        <v>71</v>
      </c>
      <c r="B71" s="104">
        <v>1.2</v>
      </c>
      <c r="C71" s="105">
        <v>1</v>
      </c>
      <c r="D71" s="106">
        <v>0.7</v>
      </c>
    </row>
    <row r="72" spans="1:4" x14ac:dyDescent="0.25">
      <c r="A72" s="107" t="s">
        <v>72</v>
      </c>
      <c r="B72" s="108" t="s">
        <v>61</v>
      </c>
      <c r="C72" s="109">
        <v>7</v>
      </c>
      <c r="D72" s="110" t="s">
        <v>61</v>
      </c>
    </row>
    <row r="73" spans="1:4" ht="16.5" thickBot="1" x14ac:dyDescent="0.3">
      <c r="A73" s="87" t="s">
        <v>73</v>
      </c>
      <c r="B73" s="111" t="s">
        <v>61</v>
      </c>
      <c r="C73" s="67">
        <v>3.5</v>
      </c>
      <c r="D73" s="112" t="s">
        <v>61</v>
      </c>
    </row>
    <row r="74" spans="1:4" x14ac:dyDescent="0.25">
      <c r="A74" s="88" t="s">
        <v>14</v>
      </c>
      <c r="B74" s="89" t="s">
        <v>61</v>
      </c>
      <c r="C74" s="90">
        <v>1</v>
      </c>
      <c r="D74" s="91" t="s">
        <v>61</v>
      </c>
    </row>
    <row r="75" spans="1:4" ht="16.5" thickBot="1" x14ac:dyDescent="0.3">
      <c r="A75" s="113" t="s">
        <v>81</v>
      </c>
      <c r="B75" s="104" t="s">
        <v>61</v>
      </c>
      <c r="C75" s="105">
        <v>1</v>
      </c>
      <c r="D75" s="106" t="s">
        <v>61</v>
      </c>
    </row>
    <row r="76" spans="1:4" x14ac:dyDescent="0.25">
      <c r="A76" s="117" t="s">
        <v>82</v>
      </c>
      <c r="B76" s="108">
        <v>2.5499999999999998</v>
      </c>
      <c r="C76" s="109">
        <v>1.73</v>
      </c>
      <c r="D76" s="110">
        <v>0.84</v>
      </c>
    </row>
    <row r="77" spans="1:4" x14ac:dyDescent="0.25">
      <c r="A77" s="118" t="s">
        <v>83</v>
      </c>
      <c r="B77" s="83">
        <v>0.64</v>
      </c>
      <c r="C77" s="80">
        <v>0.44</v>
      </c>
      <c r="D77" s="77">
        <v>0.21</v>
      </c>
    </row>
    <row r="78" spans="1:4" ht="16.5" thickBot="1" x14ac:dyDescent="0.3">
      <c r="A78" s="87" t="s">
        <v>74</v>
      </c>
      <c r="B78" s="85">
        <v>0.21</v>
      </c>
      <c r="C78" s="82">
        <v>0.09</v>
      </c>
      <c r="D78" s="79">
        <v>3.5000000000000003E-2</v>
      </c>
    </row>
    <row r="79" spans="1:4" x14ac:dyDescent="0.25">
      <c r="A79" s="88" t="s">
        <v>75</v>
      </c>
      <c r="B79" s="114">
        <v>3.2000000000000001E-2</v>
      </c>
      <c r="C79" s="115">
        <v>1.6E-2</v>
      </c>
      <c r="D79" s="116" t="s">
        <v>61</v>
      </c>
    </row>
    <row r="80" spans="1:4" x14ac:dyDescent="0.25">
      <c r="A80" s="86" t="s">
        <v>76</v>
      </c>
      <c r="B80" s="84" t="s">
        <v>61</v>
      </c>
      <c r="C80" s="81">
        <v>6.0000000000000001E-3</v>
      </c>
      <c r="D80" s="78" t="s">
        <v>61</v>
      </c>
    </row>
    <row r="81" spans="1:4" x14ac:dyDescent="0.25">
      <c r="A81" s="86" t="s">
        <v>18</v>
      </c>
      <c r="B81" s="84" t="s">
        <v>61</v>
      </c>
      <c r="C81" s="81">
        <v>0.03</v>
      </c>
      <c r="D81" s="78" t="s">
        <v>61</v>
      </c>
    </row>
    <row r="82" spans="1:4" ht="16.5" thickBot="1" x14ac:dyDescent="0.3">
      <c r="A82" s="87" t="s">
        <v>77</v>
      </c>
      <c r="B82" s="85" t="s">
        <v>61</v>
      </c>
      <c r="C82" s="82">
        <v>4.2000000000000003E-2</v>
      </c>
      <c r="D82" s="79" t="s">
        <v>61</v>
      </c>
    </row>
  </sheetData>
  <protectedRanges>
    <protectedRange algorithmName="SHA-512" hashValue="Y71oC71D66CRIPEkOreXAUhCAuguGoF6/V+qTAAdjFekjfFAPL9X22MAmJWkjRMndXOHqjWZpQkrEMKHs+/xCg==" saltValue="gQDwv/WSDuvozsPwgAUC1w==" spinCount="100000" sqref="B1" name="Range1"/>
    <protectedRange algorithmName="SHA-512" hashValue="ExsWfiR7Hepl0B5gzCD1iRqnp2NjAuxpaS+4yPE2u3GjwAt7pzocRnhAz2l98i0ppzjmvxOW3QnxPH5P3bpL9Q==" saltValue="on8vI0Fq5TWRCIu1RPcjGg==" spinCount="100000" sqref="B6:B19" name="Range2"/>
  </protectedRanges>
  <mergeCells count="64">
    <mergeCell ref="C1:E1"/>
    <mergeCell ref="C2:E2"/>
    <mergeCell ref="A64:D65"/>
    <mergeCell ref="C25:C26"/>
    <mergeCell ref="D25:D26"/>
    <mergeCell ref="B25:B26"/>
    <mergeCell ref="A25:A26"/>
    <mergeCell ref="B43:B44"/>
    <mergeCell ref="A43:A44"/>
    <mergeCell ref="B57:B58"/>
    <mergeCell ref="A45:A46"/>
    <mergeCell ref="B45:B46"/>
    <mergeCell ref="C45:C46"/>
    <mergeCell ref="D45:D46"/>
    <mergeCell ref="B47:B48"/>
    <mergeCell ref="A47:A48"/>
    <mergeCell ref="B49:B50"/>
    <mergeCell ref="C47:C48"/>
    <mergeCell ref="G43:I43"/>
    <mergeCell ref="E43:E44"/>
    <mergeCell ref="F43:F44"/>
    <mergeCell ref="D43:D44"/>
    <mergeCell ref="C43:C44"/>
    <mergeCell ref="D47:D48"/>
    <mergeCell ref="A4:A5"/>
    <mergeCell ref="B4:B5"/>
    <mergeCell ref="C4:C5"/>
    <mergeCell ref="D4:D5"/>
    <mergeCell ref="E4:E5"/>
    <mergeCell ref="G5:H5"/>
    <mergeCell ref="C37:C40"/>
    <mergeCell ref="D37:D40"/>
    <mergeCell ref="C27:C31"/>
    <mergeCell ref="D27:D31"/>
    <mergeCell ref="C32:C33"/>
    <mergeCell ref="D32:D33"/>
    <mergeCell ref="C35:C36"/>
    <mergeCell ref="D35:D36"/>
    <mergeCell ref="C51:C52"/>
    <mergeCell ref="C53:C54"/>
    <mergeCell ref="C55:C56"/>
    <mergeCell ref="C57:C58"/>
    <mergeCell ref="B51:B52"/>
    <mergeCell ref="D59:D60"/>
    <mergeCell ref="D51:D52"/>
    <mergeCell ref="D53:D54"/>
    <mergeCell ref="D55:D56"/>
    <mergeCell ref="D57:D58"/>
    <mergeCell ref="B61:B62"/>
    <mergeCell ref="C61:C62"/>
    <mergeCell ref="D61:D62"/>
    <mergeCell ref="A49:A50"/>
    <mergeCell ref="A51:A52"/>
    <mergeCell ref="A53:A54"/>
    <mergeCell ref="A55:A56"/>
    <mergeCell ref="A61:A62"/>
    <mergeCell ref="A59:A60"/>
    <mergeCell ref="A57:A58"/>
    <mergeCell ref="B53:B54"/>
    <mergeCell ref="B55:B56"/>
    <mergeCell ref="C49:C50"/>
    <mergeCell ref="D49:D50"/>
    <mergeCell ref="B59:B60"/>
    <mergeCell ref="C59:C60"/>
  </mergeCells>
  <conditionalFormatting sqref="J10">
    <cfRule type="containsText" dxfId="2" priority="3" operator="containsText" text="Nedovoljna poljoprivredna površina!">
      <formula>NOT(ISERROR(SEARCH("Nedovoljna poljoprivredna površina!",J10)))</formula>
    </cfRule>
  </conditionalFormatting>
  <conditionalFormatting sqref="C2:E2">
    <cfRule type="containsText" dxfId="1" priority="2" operator="containsText" text="Poljoprivredna površina zadovoljava!">
      <formula>NOT(ISERROR(SEARCH("Poljoprivredna površina zadovoljava!",C2)))</formula>
    </cfRule>
    <cfRule type="containsText" dxfId="0" priority="1" operator="containsText" text="Nedovoljna poljoprivredna površina!">
      <formula>NOT(ISERROR(SEARCH("Nedovoljna poljoprivredna površina!",C2)))</formula>
    </cfRule>
  </conditionalFormatting>
  <pageMargins left="0.7" right="0.7" top="0.75" bottom="0.75" header="0.3" footer="0.3"/>
  <ignoredErrors>
    <ignoredError sqref="C14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Nitratna direktiva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 Vukadinović</cp:lastModifiedBy>
  <dcterms:created xsi:type="dcterms:W3CDTF">2013-03-04T09:54:53Z</dcterms:created>
  <dcterms:modified xsi:type="dcterms:W3CDTF">2018-11-30T15:50:58Z</dcterms:modified>
</cp:coreProperties>
</file>